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11340" windowHeight="8580" tabRatio="1000" activeTab="0"/>
  </bookViews>
  <sheets>
    <sheet name="Børn og Undervisning-drift" sheetId="29" r:id="rId1"/>
    <sheet name="Børn og Undervisning-anlæg" sheetId="35" r:id="rId2"/>
    <sheet name="Ark1" sheetId="41" r:id="rId3"/>
    <sheet name="Ark3" sheetId="43" r:id="rId4"/>
    <sheet name="Ark4" sheetId="44" r:id="rId5"/>
    <sheet name="Ark5" sheetId="45" r:id="rId6"/>
    <sheet name="Ark6" sheetId="46" r:id="rId7"/>
    <sheet name="Ark7" sheetId="47" r:id="rId8"/>
    <sheet name="Ark8" sheetId="48" r:id="rId9"/>
    <sheet name="Ark9" sheetId="49" r:id="rId10"/>
    <sheet name="Ark10" sheetId="50" r:id="rId11"/>
    <sheet name="Ark11" sheetId="51" r:id="rId12"/>
    <sheet name="Ark12" sheetId="52" r:id="rId13"/>
    <sheet name="Ark13" sheetId="53" r:id="rId14"/>
    <sheet name="Ark14" sheetId="54" r:id="rId15"/>
    <sheet name="Ark15" sheetId="55" r:id="rId16"/>
    <sheet name="Ark16" sheetId="56" r:id="rId17"/>
    <sheet name="Ark17" sheetId="57" r:id="rId18"/>
    <sheet name="Ark18" sheetId="58" r:id="rId19"/>
    <sheet name="Ark19" sheetId="59" r:id="rId20"/>
    <sheet name="Ark20" sheetId="60" r:id="rId21"/>
  </sheets>
  <definedNames>
    <definedName name="_xlnm.Print_Titles" localSheetId="0">'Børn og Undervisning-drift'!$6:$6</definedName>
    <definedName name="_xlnm.Print_Titles" localSheetId="1">'Børn og Undervisning-anlæg'!$6:$6</definedName>
  </definedNames>
  <calcPr calcId="145621"/>
</workbook>
</file>

<file path=xl/sharedStrings.xml><?xml version="1.0" encoding="utf-8"?>
<sst xmlns="http://schemas.openxmlformats.org/spreadsheetml/2006/main" count="333" uniqueCount="209">
  <si>
    <t>Udvalg: Børn og Undervisning</t>
  </si>
  <si>
    <t>Drift</t>
  </si>
  <si>
    <t>Anlæg</t>
  </si>
  <si>
    <t>+ = overskud,     - =  underskud</t>
  </si>
  <si>
    <t>Indenfor rammen:</t>
  </si>
  <si>
    <t>Anlægsprojekter</t>
  </si>
  <si>
    <t>Konto 
(sted)</t>
  </si>
  <si>
    <t>Børneh. Regnbuen, Horne</t>
  </si>
  <si>
    <t>Oksbøl Børnehave</t>
  </si>
  <si>
    <t>Børneh. Møllehuset, Tistrup</t>
  </si>
  <si>
    <t>Børneh. Højgårdsparken</t>
  </si>
  <si>
    <t>Søndermarken S/I</t>
  </si>
  <si>
    <t>Agerbæk Skole</t>
  </si>
  <si>
    <t>Agerbæk SFO</t>
  </si>
  <si>
    <t>Alslev Skole</t>
  </si>
  <si>
    <t>Alslev SFO</t>
  </si>
  <si>
    <t>Ansager Skole</t>
  </si>
  <si>
    <t>Ansager SFO</t>
  </si>
  <si>
    <t>Billum Skole</t>
  </si>
  <si>
    <t>Billum SFO</t>
  </si>
  <si>
    <t>Blåvandshuk Skole</t>
  </si>
  <si>
    <t>Brorsonskolen</t>
  </si>
  <si>
    <t>Brorsonskolen SFO</t>
  </si>
  <si>
    <t>Horne Skole</t>
  </si>
  <si>
    <t>Horne SFO</t>
  </si>
  <si>
    <t>Janderup Skole</t>
  </si>
  <si>
    <t>Janderup SFO</t>
  </si>
  <si>
    <t>Lunde-Kvong Skole</t>
  </si>
  <si>
    <t>Lunde-Kvong SFO</t>
  </si>
  <si>
    <t>Lykkesgårdskolen</t>
  </si>
  <si>
    <t>Specialklasserk., Lykkesgårdsk.</t>
  </si>
  <si>
    <t>Lykkesgårdskolen SFO</t>
  </si>
  <si>
    <t>Nordenskov Skole</t>
  </si>
  <si>
    <t>Nordenskov SFO</t>
  </si>
  <si>
    <t>Næsbjerg Skole</t>
  </si>
  <si>
    <t>Næsbjerg SFO</t>
  </si>
  <si>
    <t>Næsbjerg Skole taleklassen</t>
  </si>
  <si>
    <t>Nørre Nebel Skole</t>
  </si>
  <si>
    <t>Nørre Nebel SFO</t>
  </si>
  <si>
    <t>Outrup Skole</t>
  </si>
  <si>
    <t>Outrup SFO</t>
  </si>
  <si>
    <t>Sct. Jacobi Skole</t>
  </si>
  <si>
    <t>Jacobi SFO</t>
  </si>
  <si>
    <t>Starup Skole</t>
  </si>
  <si>
    <t>Starup SFO</t>
  </si>
  <si>
    <t>Thorstrup Skole</t>
  </si>
  <si>
    <t>Tistrup Skole</t>
  </si>
  <si>
    <t>Tistrup Skole Akt. Specifikke</t>
  </si>
  <si>
    <t>Tistrup SFO</t>
  </si>
  <si>
    <t>Årre Skole</t>
  </si>
  <si>
    <t>Årre SFO</t>
  </si>
  <si>
    <t>Ungdomsskolen</t>
  </si>
  <si>
    <t>Staben Skoler</t>
  </si>
  <si>
    <t>Staben Dagtilbud</t>
  </si>
  <si>
    <t>Tippen - skoledel</t>
  </si>
  <si>
    <t>Tippen - Døgndel</t>
  </si>
  <si>
    <t>Borgerservice</t>
  </si>
  <si>
    <t>Thorstrup SFO</t>
  </si>
  <si>
    <t>Dagplejen</t>
  </si>
  <si>
    <t>Sct. Jacobi 10iCampus</t>
  </si>
  <si>
    <t>485…</t>
  </si>
  <si>
    <t>Varde Vest</t>
  </si>
  <si>
    <t>Firkløveret</t>
  </si>
  <si>
    <t>Børneuniverset</t>
  </si>
  <si>
    <t>Blåbjergegnens dagtilbud</t>
  </si>
  <si>
    <t>Daginst. Ved Vesterhavet</t>
  </si>
  <si>
    <t>Daginst. Skovbrynet</t>
  </si>
  <si>
    <t>Institution ØST</t>
  </si>
  <si>
    <t>Institution Nord-ØST</t>
  </si>
  <si>
    <t>Go´mad til børn</t>
  </si>
  <si>
    <t>Samuelsgårdens SFO 1</t>
  </si>
  <si>
    <t>Samuelsgårdens SFO 2 og 3</t>
  </si>
  <si>
    <t>Ølgod Skole</t>
  </si>
  <si>
    <t>Ølgod Skole SFO</t>
  </si>
  <si>
    <t>Tippen - Entreén</t>
  </si>
  <si>
    <t>Varde STU-Center</t>
  </si>
  <si>
    <t>Dok. nr:</t>
  </si>
  <si>
    <t>Aftaleholder/område:</t>
  </si>
  <si>
    <t>301 m. fl.</t>
  </si>
  <si>
    <t>510 m. fl.</t>
  </si>
  <si>
    <t>Sekretariatet Børn og Unge</t>
  </si>
  <si>
    <t xml:space="preserve">Sted nr. </t>
  </si>
  <si>
    <t>Budgetoverførsel i alt</t>
  </si>
  <si>
    <t>IT afdeling</t>
  </si>
  <si>
    <t>Staben Skoler - overføres ikke</t>
  </si>
  <si>
    <t>301876</t>
  </si>
  <si>
    <t>Lykkesgårdskolen - udgifter i fbm evt skimmelsvamp</t>
  </si>
  <si>
    <t>301881</t>
  </si>
  <si>
    <t>375801</t>
  </si>
  <si>
    <t>513829</t>
  </si>
  <si>
    <t>Tistrup Børnehave</t>
  </si>
  <si>
    <t>514809</t>
  </si>
  <si>
    <t xml:space="preserve">Vuggestuepladser Nr. Nebel, anlægsudgift </t>
  </si>
  <si>
    <t>Budgetoverførsler fra 2015 til 2016</t>
  </si>
  <si>
    <t>Budget-
overførsel fra 2015 til 2016</t>
  </si>
  <si>
    <t>Korr. budget 2015</t>
  </si>
  <si>
    <t>Regnskab 2015</t>
  </si>
  <si>
    <t>Budgetoverførsel fra 2015 til 2016 - anlæg</t>
  </si>
  <si>
    <t>16872-16</t>
  </si>
  <si>
    <t>16957-16</t>
  </si>
  <si>
    <t>16981-16</t>
  </si>
  <si>
    <t>17000-16</t>
  </si>
  <si>
    <t>17002-16</t>
  </si>
  <si>
    <t>17020-16</t>
  </si>
  <si>
    <t>17040-16</t>
  </si>
  <si>
    <t>17044-16</t>
  </si>
  <si>
    <t>17049-16</t>
  </si>
  <si>
    <t>17079-16</t>
  </si>
  <si>
    <t>17083-16</t>
  </si>
  <si>
    <t>17091-16</t>
  </si>
  <si>
    <t>17099-16</t>
  </si>
  <si>
    <t>17117-16</t>
  </si>
  <si>
    <t>17217-16</t>
  </si>
  <si>
    <t>17219-16</t>
  </si>
  <si>
    <t>17221-16</t>
  </si>
  <si>
    <t>17223-16</t>
  </si>
  <si>
    <t>17226-16</t>
  </si>
  <si>
    <t>17229-16</t>
  </si>
  <si>
    <t>17230-16</t>
  </si>
  <si>
    <t>17232-16</t>
  </si>
  <si>
    <t>17233-16</t>
  </si>
  <si>
    <t>17242-16</t>
  </si>
  <si>
    <t>17236-16</t>
  </si>
  <si>
    <t>17249-16</t>
  </si>
  <si>
    <t>17252-16</t>
  </si>
  <si>
    <t>17286-16</t>
  </si>
  <si>
    <t>17296-16</t>
  </si>
  <si>
    <t>17306-16</t>
  </si>
  <si>
    <t>17317-16</t>
  </si>
  <si>
    <t>17338-16</t>
  </si>
  <si>
    <t>17339-16</t>
  </si>
  <si>
    <t>17341-16</t>
  </si>
  <si>
    <t>17342-16</t>
  </si>
  <si>
    <t>17345-16</t>
  </si>
  <si>
    <t>17346-16</t>
  </si>
  <si>
    <t>17353-16</t>
  </si>
  <si>
    <t>17354-16</t>
  </si>
  <si>
    <t xml:space="preserve"> Agerbæk Juniorklub</t>
  </si>
  <si>
    <t>Alsev Juniorklub</t>
  </si>
  <si>
    <t>Billum Juniorklub</t>
  </si>
  <si>
    <t>Brorsonskolen Juniorklub</t>
  </si>
  <si>
    <t>Horne Juniorklub</t>
  </si>
  <si>
    <t>Janderup Juniorklub</t>
  </si>
  <si>
    <t>Lunde-Kvong Juniorklub</t>
  </si>
  <si>
    <t>Lykkesgårds. Juniorklub</t>
  </si>
  <si>
    <t>Nordenskov Juniorklub</t>
  </si>
  <si>
    <t>Næsbjerg Juniorklub</t>
  </si>
  <si>
    <t>Nørre Nebel Juniorklub</t>
  </si>
  <si>
    <t>Outrup Juniorklub</t>
  </si>
  <si>
    <t xml:space="preserve">Jacobi, Juniorklubben </t>
  </si>
  <si>
    <t>Starup Juniorklub</t>
  </si>
  <si>
    <t>Tistrup Juniorklub</t>
  </si>
  <si>
    <t>Ølgod Juniorklub</t>
  </si>
  <si>
    <t>Årre Juniorklub</t>
  </si>
  <si>
    <t>Ansager Juniorklub</t>
  </si>
  <si>
    <t>Billum børnehave</t>
  </si>
  <si>
    <t>Thorstrup Juniorklub</t>
  </si>
  <si>
    <t>Personale - Pau-elever</t>
  </si>
  <si>
    <t>510.01</t>
  </si>
  <si>
    <t>21336-16</t>
  </si>
  <si>
    <t>Psykologernen (PPR)</t>
  </si>
  <si>
    <t>Fysio- og ergoterapeuter</t>
  </si>
  <si>
    <t>Tandplejen</t>
  </si>
  <si>
    <t>Sundhedsplejen</t>
  </si>
  <si>
    <t>Familiekonsulenter</t>
  </si>
  <si>
    <t>Støttekontaktpersoner</t>
  </si>
  <si>
    <t>Projekt "Årgang 2014"</t>
  </si>
  <si>
    <t>Prep-kursus</t>
  </si>
  <si>
    <t>"Projekt De utrolige År"</t>
  </si>
  <si>
    <t>Bus</t>
  </si>
  <si>
    <t>Børn og Forebyggelse:</t>
  </si>
  <si>
    <t>Centrale refusioner</t>
  </si>
  <si>
    <t>Plejefamilier og opholdssteder m.v.</t>
  </si>
  <si>
    <t>Forebyggende foranstaltninger</t>
  </si>
  <si>
    <t>Døgninstitutioner m.m. for børn og unge</t>
  </si>
  <si>
    <t>Sikrede døgninstitutioner</t>
  </si>
  <si>
    <t>Plejevederlag og hjælp til sygeartikler o. lign.</t>
  </si>
  <si>
    <t>Botilbud for personer med særlige sociale problemer</t>
  </si>
  <si>
    <t>Kontaktpersoner og ledsagerordninger</t>
  </si>
  <si>
    <t>Sociale formål - merudgifter og tabt arbejdsfortjeneste</t>
  </si>
  <si>
    <t>Børn, Trivsel og Sundhed:</t>
  </si>
  <si>
    <t>Staben Skoler - specialundervisning</t>
  </si>
  <si>
    <t>Staben Skole 100% overførsel</t>
  </si>
  <si>
    <t>301..</t>
  </si>
  <si>
    <t xml:space="preserve">Sekretariatet Børn og Unge </t>
  </si>
  <si>
    <t>514812</t>
  </si>
  <si>
    <t>301880</t>
  </si>
  <si>
    <t>Heraf berigtigelser tidl. År som ikke overføres</t>
  </si>
  <si>
    <t>Familiehuset Lysningen/Ungerefleksen</t>
  </si>
  <si>
    <t>521..</t>
  </si>
  <si>
    <t>23125-16</t>
  </si>
  <si>
    <t>17349-16</t>
  </si>
  <si>
    <t>16947-16</t>
  </si>
  <si>
    <t>485..</t>
  </si>
  <si>
    <t>Børn, Trivsel og Sundhed - adm.</t>
  </si>
  <si>
    <t>Årre Børnecenter</t>
  </si>
  <si>
    <t>Overført fra 2014 til 2015</t>
  </si>
  <si>
    <t>*</t>
  </si>
  <si>
    <t>* Overførsel over 5% af budget</t>
  </si>
  <si>
    <t>Ungehuset</t>
  </si>
  <si>
    <t>Renovering - og anlægspulje skoler og dagtilbud (2014)</t>
  </si>
  <si>
    <t>17352-16   30914-16</t>
  </si>
  <si>
    <t>16959-16   30918-16</t>
  </si>
  <si>
    <t>17335-16  31611-16</t>
  </si>
  <si>
    <t>17269-16  32485-16</t>
  </si>
  <si>
    <t>Hertil rest på driften som overføres til anlæg</t>
  </si>
  <si>
    <t>Vedr. renovering- og anlægspuljen 2015</t>
  </si>
  <si>
    <t>Anlæg i alt</t>
  </si>
  <si>
    <t xml:space="preserve">Renovering- og anlægspulje 2015 overført på driften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</si>
</sst>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3" borderId="2" applyNumberFormat="0" applyAlignment="0" applyProtection="0"/>
    <xf numFmtId="0" fontId="13" fillId="24" borderId="3" applyNumberFormat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6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0" fillId="0" borderId="13" xfId="0" applyFill="1" applyBorder="1"/>
    <xf numFmtId="0" fontId="3" fillId="34" borderId="0" xfId="0" applyFont="1" applyFill="1" applyAlignment="1" quotePrefix="1">
      <alignment horizontal="right" wrapText="1"/>
    </xf>
    <xf numFmtId="3" fontId="0" fillId="35" borderId="14" xfId="54" applyNumberFormat="1" applyFont="1" applyFill="1" applyBorder="1" applyAlignment="1">
      <alignment horizontal="right"/>
      <protection/>
    </xf>
    <xf numFmtId="0" fontId="0" fillId="0" borderId="14" xfId="67" applyNumberFormat="1" applyFont="1" applyFill="1" applyBorder="1" applyAlignment="1" applyProtection="1">
      <alignment/>
      <protection/>
    </xf>
    <xf numFmtId="49" fontId="0" fillId="0" borderId="14" xfId="67" applyNumberFormat="1" applyFont="1" applyFill="1" applyBorder="1" applyAlignment="1" applyProtection="1" quotePrefix="1">
      <alignment/>
      <protection locked="0"/>
    </xf>
    <xf numFmtId="3" fontId="0" fillId="0" borderId="14" xfId="67" applyNumberFormat="1" applyFont="1" applyFill="1" applyBorder="1" applyAlignment="1" applyProtection="1">
      <alignment/>
      <protection/>
    </xf>
    <xf numFmtId="0" fontId="0" fillId="0" borderId="0" xfId="0"/>
    <xf numFmtId="3" fontId="0" fillId="0" borderId="0" xfId="0" applyNumberFormat="1"/>
    <xf numFmtId="3" fontId="0" fillId="0" borderId="15" xfId="0" applyNumberFormat="1" applyBorder="1" applyAlignment="1">
      <alignment horizontal="center"/>
    </xf>
    <xf numFmtId="0" fontId="0" fillId="0" borderId="15" xfId="0" applyBorder="1"/>
    <xf numFmtId="3" fontId="0" fillId="0" borderId="15" xfId="0" applyNumberFormat="1" applyBorder="1"/>
    <xf numFmtId="3" fontId="0" fillId="0" borderId="15" xfId="0" applyNumberFormat="1" applyFill="1" applyBorder="1"/>
    <xf numFmtId="0" fontId="0" fillId="0" borderId="15" xfId="0" applyFont="1" applyBorder="1"/>
    <xf numFmtId="3" fontId="0" fillId="0" borderId="15" xfId="0" applyNumberFormat="1" applyFont="1" applyBorder="1" applyAlignment="1">
      <alignment horizontal="center"/>
    </xf>
    <xf numFmtId="0" fontId="0" fillId="0" borderId="15" xfId="0" applyFont="1" applyBorder="1"/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3" fontId="0" fillId="0" borderId="17" xfId="0" applyNumberFormat="1" applyBorder="1" applyAlignment="1">
      <alignment horizontal="center"/>
    </xf>
    <xf numFmtId="3" fontId="0" fillId="0" borderId="17" xfId="0" applyNumberFormat="1" applyBorder="1"/>
    <xf numFmtId="3" fontId="0" fillId="0" borderId="18" xfId="0" applyNumberFormat="1" applyBorder="1" applyAlignment="1">
      <alignment horizontal="center"/>
    </xf>
    <xf numFmtId="0" fontId="0" fillId="0" borderId="19" xfId="0" applyBorder="1"/>
    <xf numFmtId="3" fontId="0" fillId="0" borderId="20" xfId="0" applyNumberFormat="1" applyBorder="1" applyAlignment="1">
      <alignment horizontal="center"/>
    </xf>
    <xf numFmtId="0" fontId="0" fillId="0" borderId="19" xfId="0" applyFont="1" applyBorder="1"/>
    <xf numFmtId="3" fontId="0" fillId="0" borderId="20" xfId="0" applyNumberFormat="1" applyFont="1" applyBorder="1" applyAlignment="1">
      <alignment horizontal="center"/>
    </xf>
    <xf numFmtId="0" fontId="0" fillId="0" borderId="19" xfId="0" applyBorder="1" applyAlignment="1">
      <alignment vertical="top"/>
    </xf>
    <xf numFmtId="3" fontId="0" fillId="0" borderId="20" xfId="0" applyNumberFormat="1" applyFont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0" fillId="0" borderId="19" xfId="0" applyFont="1" applyBorder="1"/>
    <xf numFmtId="0" fontId="3" fillId="0" borderId="21" xfId="0" applyFont="1" applyBorder="1"/>
    <xf numFmtId="0" fontId="3" fillId="0" borderId="22" xfId="0" applyFont="1" applyBorder="1"/>
    <xf numFmtId="3" fontId="0" fillId="0" borderId="22" xfId="0" applyNumberFormat="1" applyBorder="1" applyAlignment="1">
      <alignment horizontal="center"/>
    </xf>
    <xf numFmtId="3" fontId="3" fillId="0" borderId="22" xfId="0" applyNumberFormat="1" applyFont="1" applyBorder="1"/>
    <xf numFmtId="3" fontId="0" fillId="0" borderId="15" xfId="0" applyNumberFormat="1" applyFont="1" applyFill="1" applyBorder="1"/>
    <xf numFmtId="0" fontId="0" fillId="0" borderId="15" xfId="0" applyBorder="1" applyAlignment="1">
      <alignment horizontal="center"/>
    </xf>
    <xf numFmtId="49" fontId="0" fillId="0" borderId="14" xfId="87" applyNumberFormat="1" applyFont="1" applyFill="1" applyBorder="1" applyAlignment="1" applyProtection="1">
      <alignment/>
      <protection locked="0"/>
    </xf>
    <xf numFmtId="0" fontId="0" fillId="0" borderId="14" xfId="87" applyNumberFormat="1" applyFont="1" applyFill="1" applyBorder="1" applyAlignment="1" applyProtection="1">
      <alignment/>
      <protection/>
    </xf>
    <xf numFmtId="49" fontId="0" fillId="0" borderId="14" xfId="87" applyNumberFormat="1" applyFont="1" applyFill="1" applyBorder="1" applyAlignment="1" applyProtection="1" quotePrefix="1">
      <alignment/>
      <protection locked="0"/>
    </xf>
    <xf numFmtId="49" fontId="0" fillId="0" borderId="14" xfId="87" applyNumberFormat="1" applyFont="1" applyFill="1" applyBorder="1" applyAlignment="1" applyProtection="1" quotePrefix="1">
      <alignment/>
      <protection locked="0"/>
    </xf>
    <xf numFmtId="0" fontId="0" fillId="0" borderId="14" xfId="87" applyNumberFormat="1" applyFont="1" applyFill="1" applyBorder="1" applyAlignment="1" applyProtection="1">
      <alignment/>
      <protection/>
    </xf>
    <xf numFmtId="49" fontId="0" fillId="0" borderId="14" xfId="87" applyNumberFormat="1" applyFont="1" applyFill="1" applyBorder="1" applyAlignment="1" applyProtection="1" quotePrefix="1">
      <alignment/>
      <protection locked="0"/>
    </xf>
    <xf numFmtId="0" fontId="0" fillId="0" borderId="14" xfId="87" applyNumberFormat="1" applyFont="1" applyFill="1" applyBorder="1" applyAlignment="1" applyProtection="1">
      <alignment/>
      <protection/>
    </xf>
    <xf numFmtId="49" fontId="0" fillId="0" borderId="14" xfId="87" applyNumberFormat="1" applyFont="1" applyFill="1" applyBorder="1" applyAlignment="1" applyProtection="1" quotePrefix="1">
      <alignment/>
      <protection locked="0"/>
    </xf>
    <xf numFmtId="0" fontId="0" fillId="0" borderId="14" xfId="87" applyNumberFormat="1" applyFont="1" applyFill="1" applyBorder="1" applyAlignment="1" applyProtection="1">
      <alignment/>
      <protection/>
    </xf>
    <xf numFmtId="3" fontId="0" fillId="0" borderId="15" xfId="0" applyNumberFormat="1" applyFont="1" applyBorder="1" applyAlignment="1">
      <alignment horizont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49" fontId="0" fillId="0" borderId="14" xfId="87" applyNumberFormat="1" applyFont="1" applyFill="1" applyBorder="1" applyAlignment="1" applyProtection="1" quotePrefix="1">
      <alignment/>
      <protection locked="0"/>
    </xf>
    <xf numFmtId="0" fontId="0" fillId="0" borderId="0" xfId="0" applyAlignment="1">
      <alignment horizontal="right"/>
    </xf>
    <xf numFmtId="0" fontId="4" fillId="33" borderId="12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3" fontId="0" fillId="0" borderId="23" xfId="0" applyNumberFormat="1" applyBorder="1"/>
    <xf numFmtId="3" fontId="0" fillId="0" borderId="24" xfId="0" applyNumberFormat="1" applyBorder="1"/>
    <xf numFmtId="3" fontId="0" fillId="0" borderId="24" xfId="0" applyNumberFormat="1" applyFill="1" applyBorder="1"/>
    <xf numFmtId="3" fontId="0" fillId="0" borderId="24" xfId="0" applyNumberFormat="1" applyFont="1" applyFill="1" applyBorder="1"/>
    <xf numFmtId="3" fontId="3" fillId="0" borderId="25" xfId="0" applyNumberFormat="1" applyFon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7" xfId="0" applyNumberFormat="1" applyFill="1" applyBorder="1"/>
    <xf numFmtId="3" fontId="3" fillId="0" borderId="28" xfId="0" applyNumberFormat="1" applyFont="1" applyBorder="1"/>
    <xf numFmtId="3" fontId="0" fillId="0" borderId="22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center"/>
    </xf>
    <xf numFmtId="0" fontId="23" fillId="0" borderId="0" xfId="0" applyFont="1" applyAlignment="1">
      <alignment wrapText="1"/>
    </xf>
    <xf numFmtId="3" fontId="0" fillId="0" borderId="30" xfId="0" applyNumberFormat="1" applyFont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3" fillId="33" borderId="14" xfId="0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horizontal="center" wrapText="1"/>
    </xf>
    <xf numFmtId="3" fontId="0" fillId="0" borderId="20" xfId="0" applyNumberForma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3" fontId="0" fillId="0" borderId="17" xfId="0" applyNumberFormat="1" applyFont="1" applyBorder="1" applyAlignment="1">
      <alignment horizontal="center"/>
    </xf>
    <xf numFmtId="3" fontId="0" fillId="0" borderId="17" xfId="0" applyNumberFormat="1" applyFont="1" applyFill="1" applyBorder="1"/>
    <xf numFmtId="3" fontId="0" fillId="0" borderId="23" xfId="0" applyNumberFormat="1" applyFont="1" applyFill="1" applyBorder="1"/>
    <xf numFmtId="3" fontId="0" fillId="0" borderId="18" xfId="0" applyNumberFormat="1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3" fillId="35" borderId="25" xfId="0" applyNumberFormat="1" applyFont="1" applyFill="1" applyBorder="1"/>
    <xf numFmtId="3" fontId="3" fillId="35" borderId="28" xfId="0" applyNumberFormat="1" applyFont="1" applyFill="1" applyBorder="1"/>
    <xf numFmtId="3" fontId="3" fillId="35" borderId="22" xfId="0" applyNumberFormat="1" applyFont="1" applyFill="1" applyBorder="1"/>
    <xf numFmtId="3" fontId="0" fillId="35" borderId="30" xfId="0" applyNumberFormat="1" applyFont="1" applyFill="1" applyBorder="1" applyAlignment="1">
      <alignment horizontal="center" wrapText="1"/>
    </xf>
    <xf numFmtId="0" fontId="0" fillId="35" borderId="30" xfId="0" applyFont="1" applyFill="1" applyBorder="1" applyAlignment="1">
      <alignment wrapText="1"/>
    </xf>
    <xf numFmtId="3" fontId="3" fillId="35" borderId="22" xfId="0" applyNumberFormat="1" applyFont="1" applyFill="1" applyBorder="1" applyAlignment="1">
      <alignment horizontal="right"/>
    </xf>
    <xf numFmtId="3" fontId="0" fillId="0" borderId="14" xfId="54" applyNumberFormat="1" applyFont="1" applyFill="1" applyBorder="1" applyAlignment="1">
      <alignment horizontal="right"/>
      <protection/>
    </xf>
    <xf numFmtId="3" fontId="3" fillId="35" borderId="14" xfId="54" applyNumberFormat="1" applyFont="1" applyFill="1" applyBorder="1" applyAlignment="1">
      <alignment horizontal="right"/>
      <protection/>
    </xf>
    <xf numFmtId="3" fontId="0" fillId="0" borderId="15" xfId="0" applyNumberFormat="1" applyBorder="1" applyAlignment="1">
      <alignment horizontal="right"/>
    </xf>
    <xf numFmtId="0" fontId="0" fillId="35" borderId="34" xfId="54" applyFont="1" applyFill="1" applyBorder="1" applyAlignment="1">
      <alignment horizontal="left"/>
      <protection/>
    </xf>
    <xf numFmtId="0" fontId="0" fillId="35" borderId="36" xfId="54" applyFont="1" applyFill="1" applyBorder="1" applyAlignment="1">
      <alignment horizontal="left"/>
      <protection/>
    </xf>
    <xf numFmtId="0" fontId="0" fillId="35" borderId="35" xfId="54" applyFont="1" applyFill="1" applyBorder="1" applyAlignment="1">
      <alignment horizontal="left"/>
      <protection/>
    </xf>
    <xf numFmtId="0" fontId="3" fillId="34" borderId="0" xfId="0" applyFont="1" applyFill="1" applyAlignment="1" quotePrefix="1">
      <alignment horizont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35" borderId="34" xfId="54" applyFont="1" applyFill="1" applyBorder="1" applyAlignment="1">
      <alignment horizontal="left"/>
      <protection/>
    </xf>
    <xf numFmtId="0" fontId="0" fillId="0" borderId="34" xfId="54" applyFont="1" applyFill="1" applyBorder="1" applyAlignment="1">
      <alignment horizontal="left"/>
      <protection/>
    </xf>
    <xf numFmtId="0" fontId="0" fillId="0" borderId="35" xfId="54" applyFont="1" applyFill="1" applyBorder="1" applyAlignment="1">
      <alignment horizontal="left"/>
      <protection/>
    </xf>
    <xf numFmtId="0" fontId="3" fillId="35" borderId="34" xfId="54" applyFont="1" applyFill="1" applyBorder="1" applyAlignment="1">
      <alignment horizontal="left"/>
      <protection/>
    </xf>
    <xf numFmtId="0" fontId="3" fillId="35" borderId="35" xfId="54" applyFont="1" applyFill="1" applyBorder="1" applyAlignment="1">
      <alignment horizontal="left"/>
      <protection/>
    </xf>
  </cellXfs>
  <cellStyles count="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Markeringsfarve1" xfId="20"/>
    <cellStyle name="20 % - Markeringsfarve2" xfId="21"/>
    <cellStyle name="20 % - Markeringsfarve3" xfId="22"/>
    <cellStyle name="20 % - Markeringsfarve4" xfId="23"/>
    <cellStyle name="20 % - Markeringsfarve5" xfId="24"/>
    <cellStyle name="20 % - Markeringsfarve6" xfId="25"/>
    <cellStyle name="40 % - Markeringsfarve1" xfId="26"/>
    <cellStyle name="40 % - Markeringsfarve2" xfId="27"/>
    <cellStyle name="40 % - Markeringsfarve3" xfId="28"/>
    <cellStyle name="40 % - Markeringsfarve4" xfId="29"/>
    <cellStyle name="40 % - Markeringsfarve5" xfId="30"/>
    <cellStyle name="40 % - Markeringsfarve6" xfId="31"/>
    <cellStyle name="60 % - Markeringsfarve1" xfId="32"/>
    <cellStyle name="60 % - Markeringsfarve2" xfId="33"/>
    <cellStyle name="60 % - Markeringsfarve3" xfId="34"/>
    <cellStyle name="60 % - Markeringsfarve4" xfId="35"/>
    <cellStyle name="60 % - Markeringsfarve5" xfId="36"/>
    <cellStyle name="60 % - Markeringsfarve6" xfId="37"/>
    <cellStyle name="Advarselstekst" xfId="38"/>
    <cellStyle name="Bemærk! 2" xfId="39"/>
    <cellStyle name="Beregning" xfId="40"/>
    <cellStyle name="Forklarende tekst" xfId="41"/>
    <cellStyle name="God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 2 2" xfId="53"/>
    <cellStyle name="Normal 2 3" xfId="54"/>
    <cellStyle name="Normal 2 4" xfId="55"/>
    <cellStyle name="Normal 3" xfId="56"/>
    <cellStyle name="Normal 4" xfId="57"/>
    <cellStyle name="Output" xfId="58"/>
    <cellStyle name="Overskrift 1" xfId="59"/>
    <cellStyle name="Overskrift 2" xfId="60"/>
    <cellStyle name="Overskrift 3" xfId="61"/>
    <cellStyle name="Overskrift 4" xfId="62"/>
    <cellStyle name="Sammenkædet celle" xfId="63"/>
    <cellStyle name="Titel" xfId="64"/>
    <cellStyle name="Total" xfId="65"/>
    <cellStyle name="Ugyldig" xfId="66"/>
    <cellStyle name="Normal 5" xfId="67"/>
    <cellStyle name="Normal 2 5" xfId="68"/>
    <cellStyle name="Normal 6" xfId="69"/>
    <cellStyle name="20 % - Markeringsfarve1 2" xfId="70"/>
    <cellStyle name="20 % - Markeringsfarve2 2" xfId="71"/>
    <cellStyle name="20 % - Markeringsfarve3 2" xfId="72"/>
    <cellStyle name="20 % - Markeringsfarve4 2" xfId="73"/>
    <cellStyle name="20 % - Markeringsfarve5 2" xfId="74"/>
    <cellStyle name="20 % - Markeringsfarve6 2" xfId="75"/>
    <cellStyle name="40 % - Markeringsfarve1 2" xfId="76"/>
    <cellStyle name="40 % - Markeringsfarve2 2" xfId="77"/>
    <cellStyle name="40 % - Markeringsfarve3 2" xfId="78"/>
    <cellStyle name="40 % - Markeringsfarve4 2" xfId="79"/>
    <cellStyle name="40 % - Markeringsfarve5 2" xfId="80"/>
    <cellStyle name="40 % - Markeringsfarve6 2" xfId="81"/>
    <cellStyle name="Bemærk! 2 2" xfId="82"/>
    <cellStyle name="Normal 2 3 2" xfId="83"/>
    <cellStyle name="Normal 3 2" xfId="84"/>
    <cellStyle name="Normal 5 2" xfId="85"/>
    <cellStyle name="Normal 6 2" xfId="86"/>
    <cellStyle name="Normal 7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workbookViewId="0" topLeftCell="A1">
      <pane ySplit="7" topLeftCell="A128" activePane="bottomLeft" state="frozen"/>
      <selection pane="topLeft" activeCell="D38" sqref="D38"/>
      <selection pane="bottomLeft" activeCell="A8" sqref="A8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26.00390625" style="0" customWidth="1"/>
    <col min="4" max="4" width="7.421875" style="0" customWidth="1"/>
    <col min="5" max="5" width="11.421875" style="0" customWidth="1"/>
    <col min="6" max="6" width="11.57421875" style="0" customWidth="1"/>
    <col min="7" max="7" width="11.8515625" style="0" customWidth="1"/>
    <col min="8" max="8" width="10.00390625" style="3" customWidth="1"/>
    <col min="9" max="9" width="11.00390625" style="61" customWidth="1"/>
    <col min="10" max="10" width="8.57421875" style="3" customWidth="1"/>
  </cols>
  <sheetData>
    <row r="1" ht="13.5" thickBot="1">
      <c r="J1" s="17"/>
    </row>
    <row r="2" spans="1:10" ht="26.25" thickBot="1">
      <c r="A2" s="11"/>
      <c r="B2" s="5" t="s">
        <v>93</v>
      </c>
      <c r="C2" s="6"/>
      <c r="D2" s="6"/>
      <c r="E2" s="6"/>
      <c r="F2" s="6"/>
      <c r="G2" s="6"/>
      <c r="H2" s="63"/>
      <c r="I2" s="62"/>
      <c r="J2" s="7"/>
    </row>
    <row r="4" spans="2:10" ht="18">
      <c r="B4" s="4" t="s">
        <v>0</v>
      </c>
      <c r="C4" s="2"/>
      <c r="J4" s="17"/>
    </row>
    <row r="5" spans="2:10" ht="18">
      <c r="B5" s="4" t="s">
        <v>1</v>
      </c>
      <c r="J5" s="17"/>
    </row>
    <row r="6" spans="1:10" ht="51">
      <c r="A6" s="1"/>
      <c r="B6" s="83" t="s">
        <v>77</v>
      </c>
      <c r="C6" s="84"/>
      <c r="D6" s="85" t="s">
        <v>6</v>
      </c>
      <c r="E6" s="82" t="s">
        <v>95</v>
      </c>
      <c r="F6" s="82" t="s">
        <v>96</v>
      </c>
      <c r="G6" s="81" t="s">
        <v>94</v>
      </c>
      <c r="H6" s="82" t="s">
        <v>198</v>
      </c>
      <c r="I6" s="82" t="s">
        <v>196</v>
      </c>
      <c r="J6" s="82" t="s">
        <v>76</v>
      </c>
    </row>
    <row r="7" spans="2:10" ht="24" customHeight="1">
      <c r="B7" s="77"/>
      <c r="C7" s="78"/>
      <c r="D7" s="79"/>
      <c r="E7" s="80"/>
      <c r="F7" s="80"/>
      <c r="G7" s="108" t="s">
        <v>3</v>
      </c>
      <c r="H7" s="108"/>
      <c r="I7" s="108"/>
      <c r="J7" s="108"/>
    </row>
    <row r="8" spans="2:10" ht="13.5" thickBot="1">
      <c r="B8" s="1" t="s">
        <v>4</v>
      </c>
      <c r="D8" s="3"/>
      <c r="H8" s="75"/>
      <c r="J8" s="17"/>
    </row>
    <row r="9" spans="2:10" ht="14.25" customHeight="1">
      <c r="B9" s="28">
        <v>201</v>
      </c>
      <c r="C9" s="29" t="s">
        <v>58</v>
      </c>
      <c r="D9" s="30">
        <v>511020</v>
      </c>
      <c r="E9" s="31">
        <v>71997350</v>
      </c>
      <c r="F9" s="64">
        <v>72955411</v>
      </c>
      <c r="G9" s="69">
        <f>E9-F9</f>
        <v>-958061</v>
      </c>
      <c r="H9" s="30"/>
      <c r="I9" s="31">
        <v>396622</v>
      </c>
      <c r="J9" s="32" t="s">
        <v>98</v>
      </c>
    </row>
    <row r="10" spans="1:10" ht="12.75">
      <c r="A10" s="1"/>
      <c r="B10" s="33">
        <v>210</v>
      </c>
      <c r="C10" s="20" t="s">
        <v>7</v>
      </c>
      <c r="D10" s="19">
        <v>514002</v>
      </c>
      <c r="E10" s="21">
        <v>1737914</v>
      </c>
      <c r="F10" s="65">
        <v>1687462</v>
      </c>
      <c r="G10" s="70">
        <f>E10-F10</f>
        <v>50452</v>
      </c>
      <c r="H10" s="19"/>
      <c r="I10" s="21">
        <v>-127843</v>
      </c>
      <c r="J10" s="34" t="s">
        <v>192</v>
      </c>
    </row>
    <row r="11" spans="1:10" ht="12.75">
      <c r="A11" s="1"/>
      <c r="B11" s="33">
        <v>217</v>
      </c>
      <c r="C11" s="20" t="s">
        <v>8</v>
      </c>
      <c r="D11" s="19">
        <v>514004</v>
      </c>
      <c r="E11" s="21">
        <v>2717481</v>
      </c>
      <c r="F11" s="65">
        <v>2737285</v>
      </c>
      <c r="G11" s="70">
        <f>E11-F11</f>
        <v>-19804</v>
      </c>
      <c r="H11" s="19"/>
      <c r="I11" s="21">
        <v>44000</v>
      </c>
      <c r="J11" s="34" t="s">
        <v>99</v>
      </c>
    </row>
    <row r="12" spans="2:10" ht="25.5">
      <c r="B12" s="33">
        <v>222</v>
      </c>
      <c r="C12" s="20" t="s">
        <v>9</v>
      </c>
      <c r="D12" s="19">
        <v>514006</v>
      </c>
      <c r="E12" s="21">
        <v>4662003</v>
      </c>
      <c r="F12" s="65">
        <v>4332340</v>
      </c>
      <c r="G12" s="70">
        <f>E12-F12</f>
        <v>329663</v>
      </c>
      <c r="H12" s="19" t="s">
        <v>197</v>
      </c>
      <c r="I12" s="21">
        <v>266318</v>
      </c>
      <c r="J12" s="87" t="s">
        <v>202</v>
      </c>
    </row>
    <row r="13" spans="2:10" ht="12.75">
      <c r="B13" s="33">
        <v>224</v>
      </c>
      <c r="C13" s="20" t="s">
        <v>10</v>
      </c>
      <c r="D13" s="19">
        <v>514008</v>
      </c>
      <c r="E13" s="21">
        <v>5840039</v>
      </c>
      <c r="F13" s="65">
        <v>5595903</v>
      </c>
      <c r="G13" s="70">
        <f aca="true" t="shared" si="0" ref="G13:G90">E13-F13</f>
        <v>244136</v>
      </c>
      <c r="H13" s="19"/>
      <c r="I13" s="21">
        <v>126643</v>
      </c>
      <c r="J13" s="34" t="s">
        <v>100</v>
      </c>
    </row>
    <row r="14" spans="2:10" ht="12.75">
      <c r="B14" s="33">
        <v>228</v>
      </c>
      <c r="C14" s="20" t="s">
        <v>11</v>
      </c>
      <c r="D14" s="19">
        <v>514010</v>
      </c>
      <c r="E14" s="21">
        <v>9903317</v>
      </c>
      <c r="F14" s="65">
        <v>9960238</v>
      </c>
      <c r="G14" s="70">
        <f t="shared" si="0"/>
        <v>-56921</v>
      </c>
      <c r="H14" s="19"/>
      <c r="I14" s="21">
        <v>229530</v>
      </c>
      <c r="J14" s="34" t="s">
        <v>101</v>
      </c>
    </row>
    <row r="15" spans="2:10" s="17" customFormat="1" ht="12.75">
      <c r="B15" s="33">
        <v>240</v>
      </c>
      <c r="C15" s="20" t="s">
        <v>61</v>
      </c>
      <c r="D15" s="19">
        <v>514020</v>
      </c>
      <c r="E15" s="21">
        <f>14780398+518032</f>
        <v>15298430</v>
      </c>
      <c r="F15" s="65">
        <f>14232874+794723</f>
        <v>15027597</v>
      </c>
      <c r="G15" s="70">
        <f t="shared" si="0"/>
        <v>270833</v>
      </c>
      <c r="H15" s="19"/>
      <c r="I15" s="21">
        <v>-442361</v>
      </c>
      <c r="J15" s="34" t="s">
        <v>102</v>
      </c>
    </row>
    <row r="16" spans="2:10" s="17" customFormat="1" ht="12.75">
      <c r="B16" s="33">
        <v>241</v>
      </c>
      <c r="C16" s="20" t="s">
        <v>62</v>
      </c>
      <c r="D16" s="19">
        <v>514025</v>
      </c>
      <c r="E16" s="21">
        <v>17614245</v>
      </c>
      <c r="F16" s="65">
        <v>16929595</v>
      </c>
      <c r="G16" s="70">
        <v>679172</v>
      </c>
      <c r="H16" s="19"/>
      <c r="I16" s="21">
        <v>776188</v>
      </c>
      <c r="J16" s="34" t="s">
        <v>103</v>
      </c>
    </row>
    <row r="17" spans="2:10" s="17" customFormat="1" ht="12.75">
      <c r="B17" s="33">
        <v>242</v>
      </c>
      <c r="C17" s="20" t="s">
        <v>63</v>
      </c>
      <c r="D17" s="19">
        <v>514050</v>
      </c>
      <c r="E17" s="21">
        <v>10957080</v>
      </c>
      <c r="F17" s="65">
        <v>10687764</v>
      </c>
      <c r="G17" s="70">
        <f t="shared" si="0"/>
        <v>269316</v>
      </c>
      <c r="H17" s="19"/>
      <c r="I17" s="21">
        <v>667970</v>
      </c>
      <c r="J17" s="34" t="s">
        <v>104</v>
      </c>
    </row>
    <row r="18" spans="2:10" s="17" customFormat="1" ht="12.75">
      <c r="B18" s="33">
        <v>243</v>
      </c>
      <c r="C18" s="20" t="s">
        <v>64</v>
      </c>
      <c r="D18" s="19">
        <v>514045</v>
      </c>
      <c r="E18" s="21">
        <v>11329794</v>
      </c>
      <c r="F18" s="65">
        <v>11175225</v>
      </c>
      <c r="G18" s="70">
        <v>154571</v>
      </c>
      <c r="H18" s="19"/>
      <c r="I18" s="21">
        <v>380776</v>
      </c>
      <c r="J18" s="34" t="s">
        <v>105</v>
      </c>
    </row>
    <row r="19" spans="2:10" s="17" customFormat="1" ht="12.75">
      <c r="B19" s="33">
        <v>244</v>
      </c>
      <c r="C19" s="20" t="s">
        <v>65</v>
      </c>
      <c r="D19" s="19">
        <v>514040</v>
      </c>
      <c r="E19" s="21">
        <v>8488656</v>
      </c>
      <c r="F19" s="65">
        <v>7936990</v>
      </c>
      <c r="G19" s="70">
        <f t="shared" si="0"/>
        <v>551666</v>
      </c>
      <c r="H19" s="19" t="s">
        <v>197</v>
      </c>
      <c r="I19" s="21">
        <v>538085</v>
      </c>
      <c r="J19" s="34" t="s">
        <v>106</v>
      </c>
    </row>
    <row r="20" spans="2:10" ht="12.75">
      <c r="B20" s="33">
        <v>245</v>
      </c>
      <c r="C20" s="20" t="s">
        <v>66</v>
      </c>
      <c r="D20" s="19">
        <v>514030</v>
      </c>
      <c r="E20" s="21">
        <v>9841484</v>
      </c>
      <c r="F20" s="65">
        <v>9748259</v>
      </c>
      <c r="G20" s="70">
        <f t="shared" si="0"/>
        <v>93225</v>
      </c>
      <c r="H20" s="19"/>
      <c r="I20" s="21">
        <v>218607</v>
      </c>
      <c r="J20" s="34" t="s">
        <v>107</v>
      </c>
    </row>
    <row r="21" spans="2:10" ht="12.75">
      <c r="B21" s="33">
        <v>246</v>
      </c>
      <c r="C21" s="20" t="s">
        <v>67</v>
      </c>
      <c r="D21" s="19">
        <v>514035</v>
      </c>
      <c r="E21" s="21">
        <v>10957976</v>
      </c>
      <c r="F21" s="66">
        <v>10841782</v>
      </c>
      <c r="G21" s="70">
        <f t="shared" si="0"/>
        <v>116194</v>
      </c>
      <c r="H21" s="19"/>
      <c r="I21" s="21">
        <v>-535922</v>
      </c>
      <c r="J21" s="34" t="s">
        <v>108</v>
      </c>
    </row>
    <row r="22" spans="2:10" ht="12.75">
      <c r="B22" s="33">
        <v>247</v>
      </c>
      <c r="C22" s="20" t="s">
        <v>68</v>
      </c>
      <c r="D22" s="19">
        <v>514055</v>
      </c>
      <c r="E22" s="21">
        <v>14564909</v>
      </c>
      <c r="F22" s="65">
        <v>14495510</v>
      </c>
      <c r="G22" s="70">
        <f t="shared" si="0"/>
        <v>69399</v>
      </c>
      <c r="H22" s="19"/>
      <c r="I22" s="21">
        <v>267396</v>
      </c>
      <c r="J22" s="34" t="s">
        <v>109</v>
      </c>
    </row>
    <row r="23" spans="2:10" ht="12.75">
      <c r="B23" s="33">
        <v>327</v>
      </c>
      <c r="C23" s="20" t="s">
        <v>69</v>
      </c>
      <c r="D23" s="19">
        <v>510006</v>
      </c>
      <c r="E23" s="21">
        <v>-202231</v>
      </c>
      <c r="F23" s="65">
        <v>-359426</v>
      </c>
      <c r="G23" s="70">
        <f t="shared" si="0"/>
        <v>157195</v>
      </c>
      <c r="H23" s="19" t="s">
        <v>197</v>
      </c>
      <c r="I23" s="21">
        <v>192662</v>
      </c>
      <c r="J23" s="34" t="s">
        <v>110</v>
      </c>
    </row>
    <row r="24" spans="2:10" ht="12.75">
      <c r="B24" s="33"/>
      <c r="C24" s="20"/>
      <c r="D24" s="19"/>
      <c r="E24" s="21"/>
      <c r="F24" s="65"/>
      <c r="G24" s="70"/>
      <c r="H24" s="19"/>
      <c r="I24" s="21"/>
      <c r="J24" s="34"/>
    </row>
    <row r="25" spans="2:10" ht="12.75">
      <c r="B25" s="33">
        <v>301</v>
      </c>
      <c r="C25" s="20" t="s">
        <v>12</v>
      </c>
      <c r="D25" s="19">
        <v>301005</v>
      </c>
      <c r="E25" s="21">
        <f>15903465+130114</f>
        <v>16033579</v>
      </c>
      <c r="F25" s="65">
        <f>15713479+39600</f>
        <v>15753079</v>
      </c>
      <c r="G25" s="70">
        <f t="shared" si="0"/>
        <v>280500</v>
      </c>
      <c r="H25" s="19"/>
      <c r="I25" s="21">
        <v>-322235</v>
      </c>
      <c r="J25" s="34" t="s">
        <v>111</v>
      </c>
    </row>
    <row r="26" spans="2:10" ht="12.75">
      <c r="B26" s="33">
        <v>301</v>
      </c>
      <c r="C26" s="20" t="s">
        <v>13</v>
      </c>
      <c r="D26" s="19">
        <v>305005</v>
      </c>
      <c r="E26" s="21">
        <v>1976675</v>
      </c>
      <c r="F26" s="65">
        <v>1552900</v>
      </c>
      <c r="G26" s="70">
        <f t="shared" si="0"/>
        <v>423775</v>
      </c>
      <c r="H26" s="19"/>
      <c r="I26" s="21">
        <v>215984</v>
      </c>
      <c r="J26" s="34" t="s">
        <v>111</v>
      </c>
    </row>
    <row r="27" spans="2:10" s="17" customFormat="1" ht="12.75">
      <c r="B27" s="33">
        <v>301</v>
      </c>
      <c r="C27" s="20" t="s">
        <v>137</v>
      </c>
      <c r="D27" s="19">
        <v>376060</v>
      </c>
      <c r="E27" s="21">
        <v>176662</v>
      </c>
      <c r="F27" s="65">
        <v>67831</v>
      </c>
      <c r="G27" s="70">
        <f t="shared" si="0"/>
        <v>108831</v>
      </c>
      <c r="H27" s="19"/>
      <c r="I27" s="21"/>
      <c r="J27" s="34" t="s">
        <v>111</v>
      </c>
    </row>
    <row r="28" spans="2:10" ht="12.75">
      <c r="B28" s="33">
        <v>302</v>
      </c>
      <c r="C28" s="20" t="s">
        <v>14</v>
      </c>
      <c r="D28" s="19">
        <v>301007</v>
      </c>
      <c r="E28" s="21">
        <f>10623953+69239</f>
        <v>10693192</v>
      </c>
      <c r="F28" s="65">
        <f>10109730+0</f>
        <v>10109730</v>
      </c>
      <c r="G28" s="70">
        <f t="shared" si="0"/>
        <v>583462</v>
      </c>
      <c r="H28" s="19" t="s">
        <v>197</v>
      </c>
      <c r="I28" s="21">
        <v>224442</v>
      </c>
      <c r="J28" s="34" t="s">
        <v>112</v>
      </c>
    </row>
    <row r="29" spans="2:10" ht="12.75">
      <c r="B29" s="33">
        <v>302</v>
      </c>
      <c r="C29" s="20" t="s">
        <v>15</v>
      </c>
      <c r="D29" s="19">
        <v>305007</v>
      </c>
      <c r="E29" s="21">
        <v>2275691</v>
      </c>
      <c r="F29" s="65">
        <v>1925877</v>
      </c>
      <c r="G29" s="70">
        <f t="shared" si="0"/>
        <v>349814</v>
      </c>
      <c r="H29" s="19" t="s">
        <v>197</v>
      </c>
      <c r="I29" s="21">
        <v>146757</v>
      </c>
      <c r="J29" s="34" t="s">
        <v>112</v>
      </c>
    </row>
    <row r="30" spans="2:10" s="17" customFormat="1" ht="12.75">
      <c r="B30" s="33">
        <v>302</v>
      </c>
      <c r="C30" s="20" t="s">
        <v>138</v>
      </c>
      <c r="D30" s="19">
        <v>376061</v>
      </c>
      <c r="E30" s="21">
        <v>124141</v>
      </c>
      <c r="F30" s="65">
        <v>53218</v>
      </c>
      <c r="G30" s="70">
        <f t="shared" si="0"/>
        <v>70923</v>
      </c>
      <c r="H30" s="19" t="s">
        <v>197</v>
      </c>
      <c r="I30" s="21"/>
      <c r="J30" s="34" t="s">
        <v>112</v>
      </c>
    </row>
    <row r="31" spans="2:10" ht="12.75">
      <c r="B31" s="33">
        <v>303</v>
      </c>
      <c r="C31" s="20" t="s">
        <v>16</v>
      </c>
      <c r="D31" s="19">
        <v>301009</v>
      </c>
      <c r="E31" s="21">
        <f>13819220+84715</f>
        <v>13903935</v>
      </c>
      <c r="F31" s="65">
        <f>11827686+61005</f>
        <v>11888691</v>
      </c>
      <c r="G31" s="70">
        <f t="shared" si="0"/>
        <v>2015244</v>
      </c>
      <c r="H31" s="19" t="s">
        <v>197</v>
      </c>
      <c r="I31" s="21">
        <v>1076080</v>
      </c>
      <c r="J31" s="34" t="s">
        <v>113</v>
      </c>
    </row>
    <row r="32" spans="2:10" ht="12.75">
      <c r="B32" s="33">
        <v>303</v>
      </c>
      <c r="C32" s="20" t="s">
        <v>17</v>
      </c>
      <c r="D32" s="19">
        <v>305009</v>
      </c>
      <c r="E32" s="21">
        <v>1527215</v>
      </c>
      <c r="F32" s="65">
        <v>1280271</v>
      </c>
      <c r="G32" s="70">
        <f t="shared" si="0"/>
        <v>246944</v>
      </c>
      <c r="H32" s="19" t="s">
        <v>197</v>
      </c>
      <c r="I32" s="21">
        <v>201315</v>
      </c>
      <c r="J32" s="34" t="s">
        <v>113</v>
      </c>
    </row>
    <row r="33" spans="2:10" s="17" customFormat="1" ht="12.75">
      <c r="B33" s="33">
        <v>303</v>
      </c>
      <c r="C33" s="20" t="s">
        <v>154</v>
      </c>
      <c r="D33" s="19">
        <v>376062</v>
      </c>
      <c r="E33" s="21">
        <v>152789</v>
      </c>
      <c r="F33" s="65">
        <v>84604</v>
      </c>
      <c r="G33" s="70">
        <f t="shared" si="0"/>
        <v>68185</v>
      </c>
      <c r="H33" s="19" t="s">
        <v>197</v>
      </c>
      <c r="I33" s="21"/>
      <c r="J33" s="34" t="s">
        <v>113</v>
      </c>
    </row>
    <row r="34" spans="2:10" ht="12.75">
      <c r="B34" s="33">
        <v>304</v>
      </c>
      <c r="C34" s="21" t="s">
        <v>18</v>
      </c>
      <c r="D34" s="19">
        <v>301011</v>
      </c>
      <c r="E34" s="21">
        <f>6389539+17770</f>
        <v>6407309</v>
      </c>
      <c r="F34" s="65">
        <f>6270269+7240</f>
        <v>6277509</v>
      </c>
      <c r="G34" s="70">
        <f t="shared" si="0"/>
        <v>129800</v>
      </c>
      <c r="H34" s="19"/>
      <c r="I34" s="21">
        <v>237467</v>
      </c>
      <c r="J34" s="34" t="s">
        <v>114</v>
      </c>
    </row>
    <row r="35" spans="2:10" ht="12.75">
      <c r="B35" s="33">
        <v>304</v>
      </c>
      <c r="C35" s="20" t="s">
        <v>19</v>
      </c>
      <c r="D35" s="19">
        <v>305011</v>
      </c>
      <c r="E35" s="21">
        <v>1202450</v>
      </c>
      <c r="F35" s="65">
        <v>1097692</v>
      </c>
      <c r="G35" s="70">
        <f t="shared" si="0"/>
        <v>104758</v>
      </c>
      <c r="H35" s="19"/>
      <c r="I35" s="21">
        <v>93117</v>
      </c>
      <c r="J35" s="34" t="s">
        <v>114</v>
      </c>
    </row>
    <row r="36" spans="2:10" s="17" customFormat="1" ht="12.75">
      <c r="B36" s="33">
        <v>304</v>
      </c>
      <c r="C36" s="20" t="s">
        <v>139</v>
      </c>
      <c r="D36" s="19">
        <v>376063</v>
      </c>
      <c r="E36" s="21">
        <v>148014</v>
      </c>
      <c r="F36" s="65">
        <v>106166</v>
      </c>
      <c r="G36" s="70">
        <f t="shared" si="0"/>
        <v>41848</v>
      </c>
      <c r="H36" s="19"/>
      <c r="I36" s="21"/>
      <c r="J36" s="34" t="s">
        <v>114</v>
      </c>
    </row>
    <row r="37" spans="2:10" s="17" customFormat="1" ht="12.75">
      <c r="B37" s="33">
        <v>304</v>
      </c>
      <c r="C37" s="20" t="s">
        <v>155</v>
      </c>
      <c r="D37" s="19">
        <v>514060</v>
      </c>
      <c r="E37" s="21">
        <v>669929</v>
      </c>
      <c r="F37" s="65">
        <v>530610</v>
      </c>
      <c r="G37" s="70">
        <f t="shared" si="0"/>
        <v>139319</v>
      </c>
      <c r="H37" s="19"/>
      <c r="I37" s="21"/>
      <c r="J37" s="34" t="s">
        <v>114</v>
      </c>
    </row>
    <row r="38" spans="2:10" ht="12.75">
      <c r="B38" s="35">
        <v>305</v>
      </c>
      <c r="C38" s="23" t="s">
        <v>20</v>
      </c>
      <c r="D38" s="24">
        <v>301029</v>
      </c>
      <c r="E38" s="21">
        <f>29756733+182814</f>
        <v>29939547</v>
      </c>
      <c r="F38" s="65">
        <f>30077495+221028</f>
        <v>30298523</v>
      </c>
      <c r="G38" s="70">
        <f t="shared" si="0"/>
        <v>-358976</v>
      </c>
      <c r="H38" s="19"/>
      <c r="I38" s="21">
        <v>766720</v>
      </c>
      <c r="J38" s="36" t="s">
        <v>115</v>
      </c>
    </row>
    <row r="39" spans="2:10" ht="12.75">
      <c r="B39" s="33">
        <v>305</v>
      </c>
      <c r="C39" s="25" t="s">
        <v>70</v>
      </c>
      <c r="D39" s="19">
        <v>305055</v>
      </c>
      <c r="E39" s="21">
        <f>5288179+30019</f>
        <v>5318198</v>
      </c>
      <c r="F39" s="65">
        <f>4229768+400</f>
        <v>4230168</v>
      </c>
      <c r="G39" s="70">
        <f t="shared" si="0"/>
        <v>1088030</v>
      </c>
      <c r="H39" s="19"/>
      <c r="I39" s="21">
        <v>664893</v>
      </c>
      <c r="J39" s="36" t="s">
        <v>115</v>
      </c>
    </row>
    <row r="40" spans="2:10" ht="12.75">
      <c r="B40" s="33">
        <v>305</v>
      </c>
      <c r="C40" s="25" t="s">
        <v>71</v>
      </c>
      <c r="D40" s="19">
        <v>305026</v>
      </c>
      <c r="E40" s="22">
        <f>5244150+126964+242000</f>
        <v>5613114</v>
      </c>
      <c r="F40" s="66">
        <f>4140670+170987+798866</f>
        <v>5110523</v>
      </c>
      <c r="G40" s="71">
        <f t="shared" si="0"/>
        <v>502591</v>
      </c>
      <c r="H40" s="19"/>
      <c r="I40" s="21">
        <v>530510</v>
      </c>
      <c r="J40" s="36" t="s">
        <v>115</v>
      </c>
    </row>
    <row r="41" spans="2:10" ht="12.75">
      <c r="B41" s="33">
        <v>306</v>
      </c>
      <c r="C41" s="20" t="s">
        <v>21</v>
      </c>
      <c r="D41" s="19">
        <v>301041</v>
      </c>
      <c r="E41" s="21">
        <f>35591567+201977-183747</f>
        <v>35609797</v>
      </c>
      <c r="F41" s="65">
        <f>35189014+236594</f>
        <v>35425608</v>
      </c>
      <c r="G41" s="70">
        <f t="shared" si="0"/>
        <v>184189</v>
      </c>
      <c r="H41" s="19"/>
      <c r="I41" s="21">
        <v>-914691</v>
      </c>
      <c r="J41" s="34" t="s">
        <v>116</v>
      </c>
    </row>
    <row r="42" spans="2:10" ht="12.75">
      <c r="B42" s="33">
        <v>306</v>
      </c>
      <c r="C42" s="20" t="s">
        <v>22</v>
      </c>
      <c r="D42" s="19">
        <v>305039</v>
      </c>
      <c r="E42" s="21">
        <v>5203072</v>
      </c>
      <c r="F42" s="65">
        <v>5001339</v>
      </c>
      <c r="G42" s="70">
        <f t="shared" si="0"/>
        <v>201733</v>
      </c>
      <c r="H42" s="19"/>
      <c r="I42" s="21">
        <v>533664</v>
      </c>
      <c r="J42" s="34" t="s">
        <v>116</v>
      </c>
    </row>
    <row r="43" spans="2:10" s="17" customFormat="1" ht="12.75">
      <c r="B43" s="33">
        <v>306</v>
      </c>
      <c r="C43" s="20" t="s">
        <v>140</v>
      </c>
      <c r="D43" s="19">
        <v>376064</v>
      </c>
      <c r="E43" s="21">
        <v>596832</v>
      </c>
      <c r="F43" s="65">
        <v>153367</v>
      </c>
      <c r="G43" s="70">
        <f t="shared" si="0"/>
        <v>443465</v>
      </c>
      <c r="H43" s="19"/>
      <c r="I43" s="21"/>
      <c r="J43" s="34" t="s">
        <v>116</v>
      </c>
    </row>
    <row r="44" spans="2:10" ht="12.75">
      <c r="B44" s="33">
        <v>308</v>
      </c>
      <c r="C44" s="20" t="s">
        <v>23</v>
      </c>
      <c r="D44" s="19">
        <v>301015</v>
      </c>
      <c r="E44" s="21">
        <v>6065401</v>
      </c>
      <c r="F44" s="65">
        <v>5946083</v>
      </c>
      <c r="G44" s="70">
        <f t="shared" si="0"/>
        <v>119318</v>
      </c>
      <c r="H44" s="19"/>
      <c r="I44" s="21">
        <v>191581</v>
      </c>
      <c r="J44" s="34" t="s">
        <v>117</v>
      </c>
    </row>
    <row r="45" spans="2:10" ht="12.75">
      <c r="B45" s="33">
        <v>308</v>
      </c>
      <c r="C45" s="20" t="s">
        <v>24</v>
      </c>
      <c r="D45" s="19">
        <v>305015</v>
      </c>
      <c r="E45" s="21">
        <v>1180593</v>
      </c>
      <c r="F45" s="65">
        <v>974908</v>
      </c>
      <c r="G45" s="70">
        <f t="shared" si="0"/>
        <v>205685</v>
      </c>
      <c r="H45" s="19"/>
      <c r="I45" s="21">
        <v>172294</v>
      </c>
      <c r="J45" s="34" t="s">
        <v>117</v>
      </c>
    </row>
    <row r="46" spans="2:10" s="17" customFormat="1" ht="12.75">
      <c r="B46" s="33">
        <v>308</v>
      </c>
      <c r="C46" s="20" t="s">
        <v>141</v>
      </c>
      <c r="D46" s="19">
        <v>376065</v>
      </c>
      <c r="E46" s="21">
        <v>114592</v>
      </c>
      <c r="F46" s="65">
        <v>89896</v>
      </c>
      <c r="G46" s="70">
        <f t="shared" si="0"/>
        <v>24696</v>
      </c>
      <c r="H46" s="19"/>
      <c r="I46" s="21"/>
      <c r="J46" s="34" t="s">
        <v>117</v>
      </c>
    </row>
    <row r="47" spans="2:10" ht="12.75">
      <c r="B47" s="33">
        <v>309</v>
      </c>
      <c r="C47" s="20" t="s">
        <v>25</v>
      </c>
      <c r="D47" s="19">
        <v>301017</v>
      </c>
      <c r="E47" s="21">
        <f>7519166+66008</f>
        <v>7585174</v>
      </c>
      <c r="F47" s="65">
        <f>7824005+0</f>
        <v>7824005</v>
      </c>
      <c r="G47" s="70">
        <f t="shared" si="0"/>
        <v>-238831</v>
      </c>
      <c r="H47" s="19"/>
      <c r="I47" s="21">
        <v>94661</v>
      </c>
      <c r="J47" s="34" t="s">
        <v>118</v>
      </c>
    </row>
    <row r="48" spans="2:10" ht="12.75">
      <c r="B48" s="33">
        <v>309</v>
      </c>
      <c r="C48" s="20" t="s">
        <v>26</v>
      </c>
      <c r="D48" s="19">
        <v>305017</v>
      </c>
      <c r="E48" s="21">
        <v>1196493</v>
      </c>
      <c r="F48" s="65">
        <v>1075978</v>
      </c>
      <c r="G48" s="70">
        <f t="shared" si="0"/>
        <v>120515</v>
      </c>
      <c r="H48" s="19"/>
      <c r="I48" s="21">
        <v>-59177</v>
      </c>
      <c r="J48" s="34" t="s">
        <v>118</v>
      </c>
    </row>
    <row r="49" spans="2:10" s="17" customFormat="1" ht="12.75">
      <c r="B49" s="33">
        <v>309</v>
      </c>
      <c r="C49" s="20" t="s">
        <v>142</v>
      </c>
      <c r="D49" s="19">
        <v>376066</v>
      </c>
      <c r="E49" s="21">
        <v>190986</v>
      </c>
      <c r="F49" s="65">
        <v>69549</v>
      </c>
      <c r="G49" s="70">
        <f t="shared" si="0"/>
        <v>121437</v>
      </c>
      <c r="H49" s="19"/>
      <c r="I49" s="21"/>
      <c r="J49" s="34" t="s">
        <v>118</v>
      </c>
    </row>
    <row r="50" spans="2:10" ht="12.75">
      <c r="B50" s="33">
        <v>311</v>
      </c>
      <c r="C50" s="20" t="s">
        <v>27</v>
      </c>
      <c r="D50" s="19">
        <v>301021</v>
      </c>
      <c r="E50" s="21">
        <v>7605591</v>
      </c>
      <c r="F50" s="65">
        <v>6931271</v>
      </c>
      <c r="G50" s="70">
        <v>675534</v>
      </c>
      <c r="H50" s="19" t="s">
        <v>197</v>
      </c>
      <c r="I50" s="21">
        <v>750870</v>
      </c>
      <c r="J50" s="34" t="s">
        <v>119</v>
      </c>
    </row>
    <row r="51" spans="2:10" ht="12.75">
      <c r="B51" s="33">
        <v>311</v>
      </c>
      <c r="C51" s="20" t="s">
        <v>28</v>
      </c>
      <c r="D51" s="19">
        <v>305019</v>
      </c>
      <c r="E51" s="21">
        <v>1243137</v>
      </c>
      <c r="F51" s="65">
        <v>913648</v>
      </c>
      <c r="G51" s="70">
        <f t="shared" si="0"/>
        <v>329489</v>
      </c>
      <c r="H51" s="19" t="s">
        <v>197</v>
      </c>
      <c r="I51" s="21">
        <v>272815</v>
      </c>
      <c r="J51" s="34" t="s">
        <v>119</v>
      </c>
    </row>
    <row r="52" spans="2:10" s="17" customFormat="1" ht="12.75">
      <c r="B52" s="33">
        <v>311</v>
      </c>
      <c r="C52" s="20" t="s">
        <v>143</v>
      </c>
      <c r="D52" s="19">
        <v>376067</v>
      </c>
      <c r="E52" s="21">
        <v>219634</v>
      </c>
      <c r="F52" s="65">
        <v>114199</v>
      </c>
      <c r="G52" s="70">
        <f t="shared" si="0"/>
        <v>105435</v>
      </c>
      <c r="H52" s="19" t="s">
        <v>197</v>
      </c>
      <c r="I52" s="21"/>
      <c r="J52" s="34" t="s">
        <v>119</v>
      </c>
    </row>
    <row r="53" spans="2:10" ht="12.75">
      <c r="B53" s="33">
        <v>312</v>
      </c>
      <c r="C53" s="20" t="s">
        <v>29</v>
      </c>
      <c r="D53" s="19">
        <v>301043</v>
      </c>
      <c r="E53" s="21">
        <f>26205835+2044060+70540</f>
        <v>28320435</v>
      </c>
      <c r="F53" s="65">
        <f>24741806+2593615+174182</f>
        <v>27509603</v>
      </c>
      <c r="G53" s="70">
        <f t="shared" si="0"/>
        <v>810832</v>
      </c>
      <c r="H53" s="19"/>
      <c r="I53" s="21">
        <v>2100515</v>
      </c>
      <c r="J53" s="34" t="s">
        <v>120</v>
      </c>
    </row>
    <row r="54" spans="2:10" ht="12.75">
      <c r="B54" s="33">
        <v>312</v>
      </c>
      <c r="C54" s="20" t="s">
        <v>30</v>
      </c>
      <c r="D54" s="19">
        <v>301051</v>
      </c>
      <c r="E54" s="21">
        <v>24935251</v>
      </c>
      <c r="F54" s="65">
        <v>24363982</v>
      </c>
      <c r="G54" s="70">
        <f t="shared" si="0"/>
        <v>571269</v>
      </c>
      <c r="H54" s="19"/>
      <c r="I54" s="21">
        <f>2987+276372</f>
        <v>279359</v>
      </c>
      <c r="J54" s="34" t="s">
        <v>120</v>
      </c>
    </row>
    <row r="55" spans="2:10" ht="12.75">
      <c r="B55" s="33">
        <v>312</v>
      </c>
      <c r="C55" s="20" t="s">
        <v>31</v>
      </c>
      <c r="D55" s="19">
        <v>305041</v>
      </c>
      <c r="E55" s="21">
        <v>3632134</v>
      </c>
      <c r="F55" s="65">
        <v>3503693</v>
      </c>
      <c r="G55" s="70">
        <f t="shared" si="0"/>
        <v>128441</v>
      </c>
      <c r="H55" s="19"/>
      <c r="I55" s="21">
        <v>675215</v>
      </c>
      <c r="J55" s="34" t="s">
        <v>120</v>
      </c>
    </row>
    <row r="56" spans="2:10" s="17" customFormat="1" ht="12.75">
      <c r="B56" s="33">
        <v>312</v>
      </c>
      <c r="C56" s="20" t="s">
        <v>144</v>
      </c>
      <c r="D56" s="19">
        <v>376068</v>
      </c>
      <c r="E56" s="21">
        <v>467916</v>
      </c>
      <c r="F56" s="65">
        <v>100887</v>
      </c>
      <c r="G56" s="70">
        <f t="shared" si="0"/>
        <v>367029</v>
      </c>
      <c r="H56" s="19"/>
      <c r="I56" s="21"/>
      <c r="J56" s="34" t="s">
        <v>120</v>
      </c>
    </row>
    <row r="57" spans="2:10" ht="12.75">
      <c r="B57" s="33">
        <v>313</v>
      </c>
      <c r="C57" s="20" t="s">
        <v>32</v>
      </c>
      <c r="D57" s="19">
        <v>301023</v>
      </c>
      <c r="E57" s="21">
        <v>9601654</v>
      </c>
      <c r="F57" s="65">
        <v>9051153</v>
      </c>
      <c r="G57" s="70">
        <f t="shared" si="0"/>
        <v>550501</v>
      </c>
      <c r="H57" s="19" t="s">
        <v>197</v>
      </c>
      <c r="I57" s="21">
        <v>1111372</v>
      </c>
      <c r="J57" s="34" t="s">
        <v>121</v>
      </c>
    </row>
    <row r="58" spans="2:10" ht="12.75">
      <c r="B58" s="33">
        <v>313</v>
      </c>
      <c r="C58" s="20" t="s">
        <v>33</v>
      </c>
      <c r="D58" s="19">
        <v>305021</v>
      </c>
      <c r="E58" s="21">
        <v>1252634</v>
      </c>
      <c r="F58" s="65">
        <v>1194617</v>
      </c>
      <c r="G58" s="70">
        <f>E58-F58</f>
        <v>58017</v>
      </c>
      <c r="H58" s="19" t="s">
        <v>197</v>
      </c>
      <c r="I58" s="21">
        <v>164464</v>
      </c>
      <c r="J58" s="34" t="s">
        <v>121</v>
      </c>
    </row>
    <row r="59" spans="2:10" s="17" customFormat="1" ht="12.75">
      <c r="B59" s="33">
        <v>313</v>
      </c>
      <c r="C59" s="20" t="s">
        <v>145</v>
      </c>
      <c r="D59" s="19">
        <v>376069</v>
      </c>
      <c r="E59" s="21">
        <v>188499</v>
      </c>
      <c r="F59" s="65">
        <v>101689</v>
      </c>
      <c r="G59" s="70">
        <f>E59-F59</f>
        <v>86810</v>
      </c>
      <c r="H59" s="19" t="s">
        <v>197</v>
      </c>
      <c r="I59" s="21"/>
      <c r="J59" s="34" t="s">
        <v>121</v>
      </c>
    </row>
    <row r="60" spans="2:10" ht="12.75">
      <c r="B60" s="33">
        <v>314</v>
      </c>
      <c r="C60" s="20" t="s">
        <v>34</v>
      </c>
      <c r="D60" s="19">
        <v>301025</v>
      </c>
      <c r="E60" s="21">
        <f>16822502+105019</f>
        <v>16927521</v>
      </c>
      <c r="F60" s="65">
        <f>15656207+16000</f>
        <v>15672207</v>
      </c>
      <c r="G60" s="70">
        <f t="shared" si="0"/>
        <v>1255314</v>
      </c>
      <c r="H60" s="19" t="s">
        <v>197</v>
      </c>
      <c r="I60" s="21">
        <v>999135</v>
      </c>
      <c r="J60" s="34" t="s">
        <v>122</v>
      </c>
    </row>
    <row r="61" spans="2:10" ht="12.75">
      <c r="B61" s="33">
        <v>314</v>
      </c>
      <c r="C61" s="20" t="s">
        <v>36</v>
      </c>
      <c r="D61" s="19">
        <v>301026</v>
      </c>
      <c r="E61" s="21">
        <v>3098089</v>
      </c>
      <c r="F61" s="65">
        <v>2825535</v>
      </c>
      <c r="G61" s="70">
        <f t="shared" si="0"/>
        <v>272554</v>
      </c>
      <c r="H61" s="19" t="s">
        <v>197</v>
      </c>
      <c r="I61" s="21">
        <v>165457</v>
      </c>
      <c r="J61" s="34" t="s">
        <v>122</v>
      </c>
    </row>
    <row r="62" spans="2:10" ht="12.75">
      <c r="B62" s="33">
        <v>314</v>
      </c>
      <c r="C62" s="20" t="s">
        <v>35</v>
      </c>
      <c r="D62" s="19">
        <v>305023</v>
      </c>
      <c r="E62" s="21">
        <v>1679242</v>
      </c>
      <c r="F62" s="65">
        <v>1122312</v>
      </c>
      <c r="G62" s="70">
        <f t="shared" si="0"/>
        <v>556930</v>
      </c>
      <c r="H62" s="19" t="s">
        <v>197</v>
      </c>
      <c r="I62" s="21">
        <v>401295</v>
      </c>
      <c r="J62" s="34" t="s">
        <v>122</v>
      </c>
    </row>
    <row r="63" spans="2:10" s="17" customFormat="1" ht="12.75">
      <c r="B63" s="33">
        <v>314</v>
      </c>
      <c r="C63" s="20" t="s">
        <v>146</v>
      </c>
      <c r="D63" s="19">
        <v>376070</v>
      </c>
      <c r="E63" s="21">
        <v>248282</v>
      </c>
      <c r="F63" s="65">
        <v>117499</v>
      </c>
      <c r="G63" s="70">
        <f t="shared" si="0"/>
        <v>130783</v>
      </c>
      <c r="H63" s="19" t="s">
        <v>197</v>
      </c>
      <c r="I63" s="21"/>
      <c r="J63" s="34" t="s">
        <v>122</v>
      </c>
    </row>
    <row r="64" spans="2:10" ht="12.75">
      <c r="B64" s="33">
        <v>315</v>
      </c>
      <c r="C64" s="20" t="s">
        <v>37</v>
      </c>
      <c r="D64" s="19">
        <v>301027</v>
      </c>
      <c r="E64" s="21">
        <f>19727491+141977</f>
        <v>19869468</v>
      </c>
      <c r="F64" s="65">
        <f>19421661+187566</f>
        <v>19609227</v>
      </c>
      <c r="G64" s="70">
        <f t="shared" si="0"/>
        <v>260241</v>
      </c>
      <c r="H64" s="19"/>
      <c r="I64" s="21">
        <v>1059157</v>
      </c>
      <c r="J64" s="34" t="s">
        <v>123</v>
      </c>
    </row>
    <row r="65" spans="2:10" ht="12.75">
      <c r="B65" s="33">
        <v>315</v>
      </c>
      <c r="C65" s="20" t="s">
        <v>38</v>
      </c>
      <c r="D65" s="19">
        <v>305025</v>
      </c>
      <c r="E65" s="21">
        <v>1855491</v>
      </c>
      <c r="F65" s="65">
        <v>1672618</v>
      </c>
      <c r="G65" s="70">
        <f t="shared" si="0"/>
        <v>182873</v>
      </c>
      <c r="H65" s="19"/>
      <c r="I65" s="21">
        <v>293315</v>
      </c>
      <c r="J65" s="34" t="s">
        <v>123</v>
      </c>
    </row>
    <row r="66" spans="2:10" s="17" customFormat="1" ht="12.75">
      <c r="B66" s="33">
        <v>315</v>
      </c>
      <c r="C66" s="20" t="s">
        <v>147</v>
      </c>
      <c r="D66" s="19">
        <v>376071</v>
      </c>
      <c r="E66" s="21">
        <v>339001</v>
      </c>
      <c r="F66" s="65">
        <v>236425</v>
      </c>
      <c r="G66" s="70">
        <f t="shared" si="0"/>
        <v>102576</v>
      </c>
      <c r="H66" s="19"/>
      <c r="I66" s="21"/>
      <c r="J66" s="34" t="s">
        <v>123</v>
      </c>
    </row>
    <row r="67" spans="2:10" ht="12.75">
      <c r="B67" s="33">
        <v>316</v>
      </c>
      <c r="C67" s="20" t="s">
        <v>39</v>
      </c>
      <c r="D67" s="19">
        <v>301031</v>
      </c>
      <c r="E67" s="21">
        <v>8335677</v>
      </c>
      <c r="F67" s="65">
        <v>8750060</v>
      </c>
      <c r="G67" s="70">
        <f t="shared" si="0"/>
        <v>-414383</v>
      </c>
      <c r="H67" s="19"/>
      <c r="I67" s="21">
        <v>-491199</v>
      </c>
      <c r="J67" s="34" t="s">
        <v>124</v>
      </c>
    </row>
    <row r="68" spans="2:10" ht="12.75">
      <c r="B68" s="33">
        <v>316</v>
      </c>
      <c r="C68" s="20" t="s">
        <v>40</v>
      </c>
      <c r="D68" s="19">
        <v>305029</v>
      </c>
      <c r="E68" s="21">
        <v>1233416</v>
      </c>
      <c r="F68" s="65">
        <v>1345586</v>
      </c>
      <c r="G68" s="70">
        <f t="shared" si="0"/>
        <v>-112170</v>
      </c>
      <c r="H68" s="19"/>
      <c r="I68" s="21">
        <v>235081</v>
      </c>
      <c r="J68" s="34" t="s">
        <v>124</v>
      </c>
    </row>
    <row r="69" spans="2:10" s="17" customFormat="1" ht="12.75">
      <c r="B69" s="33">
        <v>316</v>
      </c>
      <c r="C69" s="20" t="s">
        <v>148</v>
      </c>
      <c r="D69" s="19">
        <v>376072</v>
      </c>
      <c r="E69" s="21">
        <v>119366</v>
      </c>
      <c r="F69" s="65">
        <v>45518</v>
      </c>
      <c r="G69" s="70">
        <f t="shared" si="0"/>
        <v>73848</v>
      </c>
      <c r="H69" s="19"/>
      <c r="I69" s="21"/>
      <c r="J69" s="34" t="s">
        <v>124</v>
      </c>
    </row>
    <row r="70" spans="2:10" ht="12.75">
      <c r="B70" s="33">
        <v>317</v>
      </c>
      <c r="C70" s="20" t="s">
        <v>41</v>
      </c>
      <c r="D70" s="19">
        <v>301053</v>
      </c>
      <c r="E70" s="21">
        <f>29535977+1206414+189202</f>
        <v>30931593</v>
      </c>
      <c r="F70" s="65">
        <f>29335460+439627+93185</f>
        <v>29868272</v>
      </c>
      <c r="G70" s="70">
        <f t="shared" si="0"/>
        <v>1063321</v>
      </c>
      <c r="H70" s="19" t="s">
        <v>197</v>
      </c>
      <c r="I70" s="21">
        <v>2138793</v>
      </c>
      <c r="J70" s="112" t="s">
        <v>204</v>
      </c>
    </row>
    <row r="71" spans="2:10" ht="12.75">
      <c r="B71" s="33">
        <v>317</v>
      </c>
      <c r="C71" s="20" t="s">
        <v>59</v>
      </c>
      <c r="D71" s="19">
        <v>301054</v>
      </c>
      <c r="E71" s="21">
        <v>7583594</v>
      </c>
      <c r="F71" s="65">
        <v>6953713</v>
      </c>
      <c r="G71" s="70">
        <f t="shared" si="0"/>
        <v>629881</v>
      </c>
      <c r="H71" s="19" t="s">
        <v>197</v>
      </c>
      <c r="I71" s="21">
        <v>285650</v>
      </c>
      <c r="J71" s="113"/>
    </row>
    <row r="72" spans="2:10" ht="12.75">
      <c r="B72" s="33">
        <v>317</v>
      </c>
      <c r="C72" s="20" t="s">
        <v>42</v>
      </c>
      <c r="D72" s="19">
        <v>305037</v>
      </c>
      <c r="E72" s="21">
        <f>3637747+549641+895662</f>
        <v>5083050</v>
      </c>
      <c r="F72" s="65">
        <f>3277289+964015+122464</f>
        <v>4363768</v>
      </c>
      <c r="G72" s="70">
        <f t="shared" si="0"/>
        <v>719282</v>
      </c>
      <c r="H72" s="19" t="s">
        <v>197</v>
      </c>
      <c r="I72" s="21">
        <f>-260050+601423+335290</f>
        <v>676663</v>
      </c>
      <c r="J72" s="113"/>
    </row>
    <row r="73" spans="2:10" ht="12.75">
      <c r="B73" s="33">
        <v>317</v>
      </c>
      <c r="C73" s="20" t="s">
        <v>149</v>
      </c>
      <c r="D73" s="19">
        <v>376073</v>
      </c>
      <c r="E73" s="21">
        <v>307125</v>
      </c>
      <c r="F73" s="65">
        <v>179696</v>
      </c>
      <c r="G73" s="70">
        <f t="shared" si="0"/>
        <v>127429</v>
      </c>
      <c r="H73" s="19" t="s">
        <v>197</v>
      </c>
      <c r="I73" s="21"/>
      <c r="J73" s="114"/>
    </row>
    <row r="74" spans="2:10" ht="12.75">
      <c r="B74" s="33">
        <v>319</v>
      </c>
      <c r="C74" s="20" t="s">
        <v>43</v>
      </c>
      <c r="D74" s="19">
        <v>301037</v>
      </c>
      <c r="E74" s="21">
        <v>8655309</v>
      </c>
      <c r="F74" s="65">
        <v>8136296</v>
      </c>
      <c r="G74" s="70">
        <f t="shared" si="0"/>
        <v>519013</v>
      </c>
      <c r="H74" s="19" t="s">
        <v>197</v>
      </c>
      <c r="I74" s="21">
        <v>793776</v>
      </c>
      <c r="J74" s="34" t="s">
        <v>125</v>
      </c>
    </row>
    <row r="75" spans="2:10" ht="12.75">
      <c r="B75" s="33">
        <v>319</v>
      </c>
      <c r="C75" s="20" t="s">
        <v>44</v>
      </c>
      <c r="D75" s="19">
        <v>305033</v>
      </c>
      <c r="E75" s="21">
        <v>1339953</v>
      </c>
      <c r="F75" s="65">
        <v>1166495</v>
      </c>
      <c r="G75" s="70">
        <f t="shared" si="0"/>
        <v>173458</v>
      </c>
      <c r="H75" s="19" t="s">
        <v>197</v>
      </c>
      <c r="I75" s="21">
        <v>227012</v>
      </c>
      <c r="J75" s="34" t="s">
        <v>125</v>
      </c>
    </row>
    <row r="76" spans="2:10" s="17" customFormat="1" ht="12.75">
      <c r="B76" s="33">
        <v>319</v>
      </c>
      <c r="C76" s="20" t="s">
        <v>150</v>
      </c>
      <c r="D76" s="19">
        <v>376074</v>
      </c>
      <c r="E76" s="21">
        <v>128916</v>
      </c>
      <c r="F76" s="65">
        <v>85957</v>
      </c>
      <c r="G76" s="70">
        <f t="shared" si="0"/>
        <v>42959</v>
      </c>
      <c r="H76" s="19" t="s">
        <v>197</v>
      </c>
      <c r="I76" s="21"/>
      <c r="J76" s="34" t="s">
        <v>125</v>
      </c>
    </row>
    <row r="77" spans="2:10" ht="12.75">
      <c r="B77" s="33">
        <v>320</v>
      </c>
      <c r="C77" s="20" t="s">
        <v>45</v>
      </c>
      <c r="D77" s="19">
        <v>301033</v>
      </c>
      <c r="E77" s="21">
        <f>6768033+67605</f>
        <v>6835638</v>
      </c>
      <c r="F77" s="65">
        <f>6770102+0</f>
        <v>6770102</v>
      </c>
      <c r="G77" s="70">
        <f t="shared" si="0"/>
        <v>65536</v>
      </c>
      <c r="H77" s="19"/>
      <c r="I77" s="21">
        <v>38906</v>
      </c>
      <c r="J77" s="34" t="s">
        <v>126</v>
      </c>
    </row>
    <row r="78" spans="2:10" ht="12.75">
      <c r="B78" s="33">
        <v>320</v>
      </c>
      <c r="C78" s="20" t="s">
        <v>57</v>
      </c>
      <c r="D78" s="19">
        <v>305031</v>
      </c>
      <c r="E78" s="21">
        <v>1366677</v>
      </c>
      <c r="F78" s="65">
        <v>1302403</v>
      </c>
      <c r="G78" s="70">
        <f t="shared" si="0"/>
        <v>64274</v>
      </c>
      <c r="H78" s="19"/>
      <c r="I78" s="21">
        <v>4726</v>
      </c>
      <c r="J78" s="34" t="s">
        <v>126</v>
      </c>
    </row>
    <row r="79" spans="2:10" s="17" customFormat="1" ht="12.75">
      <c r="B79" s="33">
        <v>320</v>
      </c>
      <c r="C79" s="20" t="s">
        <v>156</v>
      </c>
      <c r="D79" s="19">
        <v>376075</v>
      </c>
      <c r="E79" s="21">
        <v>200536</v>
      </c>
      <c r="F79" s="65">
        <v>25348</v>
      </c>
      <c r="G79" s="70">
        <f t="shared" si="0"/>
        <v>175188</v>
      </c>
      <c r="H79" s="19"/>
      <c r="I79" s="21"/>
      <c r="J79" s="34" t="s">
        <v>126</v>
      </c>
    </row>
    <row r="80" spans="2:10" ht="12.75">
      <c r="B80" s="33">
        <v>321</v>
      </c>
      <c r="C80" s="20" t="s">
        <v>46</v>
      </c>
      <c r="D80" s="19">
        <v>301039</v>
      </c>
      <c r="E80" s="21">
        <f>15431182+130570</f>
        <v>15561752</v>
      </c>
      <c r="F80" s="65">
        <f>15188970+130570</f>
        <v>15319540</v>
      </c>
      <c r="G80" s="70">
        <f t="shared" si="0"/>
        <v>242212</v>
      </c>
      <c r="H80" s="19"/>
      <c r="I80" s="21">
        <v>-43056</v>
      </c>
      <c r="J80" s="34" t="s">
        <v>127</v>
      </c>
    </row>
    <row r="81" spans="2:10" ht="12.75">
      <c r="B81" s="33">
        <v>321</v>
      </c>
      <c r="C81" s="20" t="s">
        <v>47</v>
      </c>
      <c r="D81" s="19">
        <v>301042</v>
      </c>
      <c r="E81" s="21">
        <v>15232011</v>
      </c>
      <c r="F81" s="65">
        <v>14891994</v>
      </c>
      <c r="G81" s="70">
        <f t="shared" si="0"/>
        <v>340017</v>
      </c>
      <c r="H81" s="19"/>
      <c r="I81" s="21">
        <v>155904</v>
      </c>
      <c r="J81" s="34" t="s">
        <v>127</v>
      </c>
    </row>
    <row r="82" spans="2:10" ht="12.75">
      <c r="B82" s="33">
        <v>321</v>
      </c>
      <c r="C82" s="20" t="s">
        <v>48</v>
      </c>
      <c r="D82" s="19">
        <v>305035</v>
      </c>
      <c r="E82" s="21">
        <v>2728001</v>
      </c>
      <c r="F82" s="65">
        <v>2076921</v>
      </c>
      <c r="G82" s="70">
        <f t="shared" si="0"/>
        <v>651080</v>
      </c>
      <c r="H82" s="19"/>
      <c r="I82" s="21">
        <v>630984</v>
      </c>
      <c r="J82" s="34" t="s">
        <v>127</v>
      </c>
    </row>
    <row r="83" spans="2:10" s="17" customFormat="1" ht="12.75">
      <c r="B83" s="33">
        <v>321</v>
      </c>
      <c r="C83" s="20" t="s">
        <v>151</v>
      </c>
      <c r="D83" s="19">
        <v>376076</v>
      </c>
      <c r="E83" s="21">
        <v>81169</v>
      </c>
      <c r="F83" s="65">
        <v>32840</v>
      </c>
      <c r="G83" s="70">
        <f t="shared" si="0"/>
        <v>48329</v>
      </c>
      <c r="H83" s="19"/>
      <c r="I83" s="21"/>
      <c r="J83" s="34" t="s">
        <v>127</v>
      </c>
    </row>
    <row r="84" spans="2:10" ht="12.75">
      <c r="B84" s="33">
        <v>322</v>
      </c>
      <c r="C84" s="20" t="s">
        <v>72</v>
      </c>
      <c r="D84" s="19">
        <v>301055</v>
      </c>
      <c r="E84" s="21">
        <f>31505633+157981</f>
        <v>31663614</v>
      </c>
      <c r="F84" s="65">
        <f>32257438+121493</f>
        <v>32378931</v>
      </c>
      <c r="G84" s="70">
        <f t="shared" si="0"/>
        <v>-715317</v>
      </c>
      <c r="H84" s="19"/>
      <c r="I84" s="21">
        <v>297596</v>
      </c>
      <c r="J84" s="34" t="s">
        <v>128</v>
      </c>
    </row>
    <row r="85" spans="2:10" ht="12.75">
      <c r="B85" s="33">
        <v>322</v>
      </c>
      <c r="C85" s="20" t="s">
        <v>73</v>
      </c>
      <c r="D85" s="19">
        <v>305051</v>
      </c>
      <c r="E85" s="21">
        <v>5053303</v>
      </c>
      <c r="F85" s="65">
        <v>4540565</v>
      </c>
      <c r="G85" s="70">
        <f t="shared" si="0"/>
        <v>512738</v>
      </c>
      <c r="H85" s="19"/>
      <c r="I85" s="21">
        <v>467118</v>
      </c>
      <c r="J85" s="34" t="s">
        <v>128</v>
      </c>
    </row>
    <row r="86" spans="2:10" s="17" customFormat="1" ht="12.75">
      <c r="B86" s="33">
        <v>322</v>
      </c>
      <c r="C86" s="20" t="s">
        <v>152</v>
      </c>
      <c r="D86" s="19">
        <v>376077</v>
      </c>
      <c r="E86" s="21">
        <v>520437</v>
      </c>
      <c r="F86" s="65">
        <v>182006</v>
      </c>
      <c r="G86" s="70">
        <f t="shared" si="0"/>
        <v>338431</v>
      </c>
      <c r="H86" s="19"/>
      <c r="I86" s="21"/>
      <c r="J86" s="34" t="s">
        <v>128</v>
      </c>
    </row>
    <row r="87" spans="2:10" ht="12.75">
      <c r="B87" s="33">
        <v>324</v>
      </c>
      <c r="C87" s="20" t="s">
        <v>49</v>
      </c>
      <c r="D87" s="19">
        <v>301059</v>
      </c>
      <c r="E87" s="21">
        <f>9333509+72624</f>
        <v>9406133</v>
      </c>
      <c r="F87" s="65">
        <f>8924954+7406</f>
        <v>8932360</v>
      </c>
      <c r="G87" s="70">
        <f t="shared" si="0"/>
        <v>473773</v>
      </c>
      <c r="H87" s="19" t="s">
        <v>197</v>
      </c>
      <c r="I87" s="21">
        <v>412209</v>
      </c>
      <c r="J87" s="109" t="s">
        <v>203</v>
      </c>
    </row>
    <row r="88" spans="2:10" ht="12.75">
      <c r="B88" s="33">
        <v>324</v>
      </c>
      <c r="C88" s="20" t="s">
        <v>50</v>
      </c>
      <c r="D88" s="19">
        <v>305053</v>
      </c>
      <c r="E88" s="21">
        <v>2135343</v>
      </c>
      <c r="F88" s="65">
        <v>1397290</v>
      </c>
      <c r="G88" s="70">
        <f t="shared" si="0"/>
        <v>738053</v>
      </c>
      <c r="H88" s="19" t="s">
        <v>197</v>
      </c>
      <c r="I88" s="21">
        <v>728217</v>
      </c>
      <c r="J88" s="110"/>
    </row>
    <row r="89" spans="2:10" s="17" customFormat="1" ht="12.75">
      <c r="B89" s="33">
        <v>324</v>
      </c>
      <c r="C89" s="20" t="s">
        <v>153</v>
      </c>
      <c r="D89" s="19">
        <v>376078</v>
      </c>
      <c r="E89" s="21">
        <v>257831</v>
      </c>
      <c r="F89" s="65">
        <v>163156</v>
      </c>
      <c r="G89" s="70">
        <f t="shared" si="0"/>
        <v>94675</v>
      </c>
      <c r="H89" s="19" t="s">
        <v>197</v>
      </c>
      <c r="I89" s="21"/>
      <c r="J89" s="111"/>
    </row>
    <row r="90" spans="2:10" ht="12.75">
      <c r="B90" s="33">
        <v>325</v>
      </c>
      <c r="C90" s="20" t="s">
        <v>51</v>
      </c>
      <c r="D90" s="19">
        <v>378001</v>
      </c>
      <c r="E90" s="21">
        <v>9419637</v>
      </c>
      <c r="F90" s="65">
        <v>9396751</v>
      </c>
      <c r="G90" s="70">
        <f t="shared" si="0"/>
        <v>22886</v>
      </c>
      <c r="H90" s="19"/>
      <c r="I90" s="21">
        <v>150343</v>
      </c>
      <c r="J90" s="34" t="s">
        <v>129</v>
      </c>
    </row>
    <row r="91" spans="2:10" ht="12.75">
      <c r="B91" s="33">
        <v>102</v>
      </c>
      <c r="C91" s="20" t="s">
        <v>83</v>
      </c>
      <c r="D91" s="19" t="s">
        <v>78</v>
      </c>
      <c r="E91" s="21">
        <v>9436477</v>
      </c>
      <c r="F91" s="65">
        <v>4904472</v>
      </c>
      <c r="G91" s="70">
        <f aca="true" t="shared" si="1" ref="G91:G128">E91-F91</f>
        <v>4532005</v>
      </c>
      <c r="H91" s="19" t="s">
        <v>197</v>
      </c>
      <c r="I91" s="21">
        <v>2884082</v>
      </c>
      <c r="J91" s="34" t="s">
        <v>130</v>
      </c>
    </row>
    <row r="92" spans="2:10" s="17" customFormat="1" ht="12.75">
      <c r="B92" s="33">
        <v>104</v>
      </c>
      <c r="C92" s="20" t="s">
        <v>157</v>
      </c>
      <c r="D92" s="19" t="s">
        <v>158</v>
      </c>
      <c r="E92" s="21">
        <v>1487920</v>
      </c>
      <c r="F92" s="65">
        <v>1660468</v>
      </c>
      <c r="G92" s="70">
        <f t="shared" si="1"/>
        <v>-172548</v>
      </c>
      <c r="H92" s="19" t="s">
        <v>197</v>
      </c>
      <c r="I92" s="21"/>
      <c r="J92" s="34" t="s">
        <v>159</v>
      </c>
    </row>
    <row r="93" spans="2:10" ht="12.75">
      <c r="B93" s="33">
        <v>110</v>
      </c>
      <c r="C93" s="20" t="s">
        <v>52</v>
      </c>
      <c r="D93" s="19" t="s">
        <v>78</v>
      </c>
      <c r="E93" s="21">
        <v>12233536</v>
      </c>
      <c r="F93" s="65">
        <f>22031353-12863077</f>
        <v>9168276</v>
      </c>
      <c r="G93" s="70">
        <f t="shared" si="1"/>
        <v>3065260</v>
      </c>
      <c r="H93" s="19" t="s">
        <v>197</v>
      </c>
      <c r="I93" s="21">
        <f>13531089-1807190</f>
        <v>11723899</v>
      </c>
      <c r="J93" s="38" t="s">
        <v>131</v>
      </c>
    </row>
    <row r="94" spans="2:10" s="17" customFormat="1" ht="25.5">
      <c r="B94" s="33">
        <v>110</v>
      </c>
      <c r="C94" s="26" t="s">
        <v>181</v>
      </c>
      <c r="D94" s="56" t="s">
        <v>78</v>
      </c>
      <c r="E94" s="21">
        <v>15030095</v>
      </c>
      <c r="F94" s="65">
        <v>12863077</v>
      </c>
      <c r="G94" s="70">
        <f t="shared" si="1"/>
        <v>2167018</v>
      </c>
      <c r="H94" s="19" t="s">
        <v>197</v>
      </c>
      <c r="I94" s="21"/>
      <c r="J94" s="38" t="s">
        <v>131</v>
      </c>
    </row>
    <row r="95" spans="2:10" ht="12.75">
      <c r="B95" s="33">
        <v>110</v>
      </c>
      <c r="C95" s="25" t="s">
        <v>84</v>
      </c>
      <c r="D95" s="19"/>
      <c r="E95" s="21"/>
      <c r="F95" s="65"/>
      <c r="G95" s="70">
        <v>-291018</v>
      </c>
      <c r="H95" s="19" t="s">
        <v>197</v>
      </c>
      <c r="I95" s="21"/>
      <c r="J95" s="38" t="s">
        <v>131</v>
      </c>
    </row>
    <row r="96" spans="2:10" s="17" customFormat="1" ht="12.75">
      <c r="B96" s="33">
        <v>110</v>
      </c>
      <c r="C96" s="25" t="s">
        <v>182</v>
      </c>
      <c r="D96" s="56" t="s">
        <v>183</v>
      </c>
      <c r="E96" s="21">
        <v>1676961</v>
      </c>
      <c r="F96" s="65">
        <v>686319</v>
      </c>
      <c r="G96" s="70">
        <v>947874</v>
      </c>
      <c r="H96" s="19"/>
      <c r="I96" s="21"/>
      <c r="J96" s="38" t="s">
        <v>131</v>
      </c>
    </row>
    <row r="97" spans="2:10" ht="12.75">
      <c r="B97" s="33">
        <v>109</v>
      </c>
      <c r="C97" s="20" t="s">
        <v>53</v>
      </c>
      <c r="D97" s="46" t="s">
        <v>79</v>
      </c>
      <c r="E97" s="21">
        <f>7268035+1785693</f>
        <v>9053728</v>
      </c>
      <c r="F97" s="65">
        <f>7056002+981212</f>
        <v>8037214</v>
      </c>
      <c r="G97" s="70">
        <f t="shared" si="1"/>
        <v>1016514</v>
      </c>
      <c r="H97" s="19" t="s">
        <v>197</v>
      </c>
      <c r="I97" s="21">
        <v>1395788</v>
      </c>
      <c r="J97" s="34" t="s">
        <v>132</v>
      </c>
    </row>
    <row r="98" spans="2:10" ht="12.75">
      <c r="B98" s="33">
        <v>107</v>
      </c>
      <c r="C98" s="20" t="s">
        <v>80</v>
      </c>
      <c r="D98" s="19">
        <v>375035</v>
      </c>
      <c r="E98" s="21">
        <v>169151</v>
      </c>
      <c r="F98" s="65">
        <v>170195</v>
      </c>
      <c r="G98" s="70">
        <f t="shared" si="1"/>
        <v>-1044</v>
      </c>
      <c r="H98" s="19"/>
      <c r="I98" s="21">
        <v>441</v>
      </c>
      <c r="J98" s="38" t="s">
        <v>133</v>
      </c>
    </row>
    <row r="99" spans="2:10" s="17" customFormat="1" ht="12.75">
      <c r="B99" s="33">
        <v>107</v>
      </c>
      <c r="C99" s="25" t="s">
        <v>184</v>
      </c>
      <c r="D99" s="19"/>
      <c r="E99" s="21"/>
      <c r="F99" s="65"/>
      <c r="G99" s="70">
        <v>-304000</v>
      </c>
      <c r="H99" s="19"/>
      <c r="I99" s="21"/>
      <c r="J99" s="38" t="s">
        <v>133</v>
      </c>
    </row>
    <row r="100" spans="2:10" ht="12.75">
      <c r="B100" s="33">
        <v>601</v>
      </c>
      <c r="C100" s="20" t="s">
        <v>56</v>
      </c>
      <c r="D100" s="19">
        <v>306001</v>
      </c>
      <c r="E100" s="22">
        <v>628753</v>
      </c>
      <c r="F100" s="66">
        <v>87768</v>
      </c>
      <c r="G100" s="70">
        <v>207748</v>
      </c>
      <c r="H100" s="19" t="s">
        <v>197</v>
      </c>
      <c r="I100" s="21">
        <v>170048</v>
      </c>
      <c r="J100" s="39" t="s">
        <v>134</v>
      </c>
    </row>
    <row r="101" spans="2:10" ht="22.5" customHeight="1">
      <c r="B101" s="58"/>
      <c r="C101" s="59" t="s">
        <v>170</v>
      </c>
      <c r="D101" s="19"/>
      <c r="E101" s="21"/>
      <c r="F101" s="65"/>
      <c r="G101" s="70"/>
      <c r="H101" s="19"/>
      <c r="I101" s="21"/>
      <c r="J101" s="34"/>
    </row>
    <row r="102" spans="2:12" s="17" customFormat="1" ht="22.5" customHeight="1">
      <c r="B102" s="57">
        <v>605</v>
      </c>
      <c r="C102" s="26" t="s">
        <v>171</v>
      </c>
      <c r="D102" s="19">
        <v>507001</v>
      </c>
      <c r="E102" s="21">
        <v>-4888541</v>
      </c>
      <c r="F102" s="65">
        <v>-5740035</v>
      </c>
      <c r="G102" s="70">
        <f t="shared" si="1"/>
        <v>851494</v>
      </c>
      <c r="H102" s="19"/>
      <c r="I102" s="21">
        <v>-2851218</v>
      </c>
      <c r="J102" s="34" t="s">
        <v>191</v>
      </c>
      <c r="L102" s="18"/>
    </row>
    <row r="103" spans="2:10" s="17" customFormat="1" ht="27" customHeight="1">
      <c r="B103" s="57">
        <v>605</v>
      </c>
      <c r="C103" s="26" t="s">
        <v>172</v>
      </c>
      <c r="D103" s="19">
        <v>520001</v>
      </c>
      <c r="E103" s="21">
        <v>58147600</v>
      </c>
      <c r="F103" s="65">
        <v>56719027</v>
      </c>
      <c r="G103" s="70">
        <f t="shared" si="1"/>
        <v>1428573</v>
      </c>
      <c r="H103" s="19"/>
      <c r="I103" s="21">
        <v>1196450</v>
      </c>
      <c r="J103" s="34" t="s">
        <v>191</v>
      </c>
    </row>
    <row r="104" spans="2:10" s="17" customFormat="1" ht="22.5" customHeight="1">
      <c r="B104" s="57">
        <v>605</v>
      </c>
      <c r="C104" s="26" t="s">
        <v>173</v>
      </c>
      <c r="D104" s="19">
        <v>521001</v>
      </c>
      <c r="E104" s="21">
        <v>47971539</v>
      </c>
      <c r="F104" s="65">
        <v>47016368</v>
      </c>
      <c r="G104" s="70">
        <f t="shared" si="1"/>
        <v>955171</v>
      </c>
      <c r="H104" s="19"/>
      <c r="I104" s="21">
        <f>69567+3593611-3000+632817-30</f>
        <v>4292965</v>
      </c>
      <c r="J104" s="34" t="s">
        <v>191</v>
      </c>
    </row>
    <row r="105" spans="2:10" s="17" customFormat="1" ht="25.5" customHeight="1">
      <c r="B105" s="57">
        <v>605</v>
      </c>
      <c r="C105" s="26" t="s">
        <v>174</v>
      </c>
      <c r="D105" s="19">
        <v>523001</v>
      </c>
      <c r="E105" s="21">
        <v>19026497</v>
      </c>
      <c r="F105" s="65">
        <v>18677649</v>
      </c>
      <c r="G105" s="70">
        <f t="shared" si="1"/>
        <v>348848</v>
      </c>
      <c r="H105" s="19"/>
      <c r="I105" s="21">
        <v>19945</v>
      </c>
      <c r="J105" s="34" t="s">
        <v>191</v>
      </c>
    </row>
    <row r="106" spans="2:10" s="17" customFormat="1" ht="22.5" customHeight="1">
      <c r="B106" s="57">
        <v>605</v>
      </c>
      <c r="C106" s="26" t="s">
        <v>175</v>
      </c>
      <c r="D106" s="19">
        <v>524001</v>
      </c>
      <c r="E106" s="21">
        <v>2101340</v>
      </c>
      <c r="F106" s="65">
        <v>2107722</v>
      </c>
      <c r="G106" s="70">
        <f t="shared" si="1"/>
        <v>-6382</v>
      </c>
      <c r="H106" s="19"/>
      <c r="I106" s="21">
        <v>725870</v>
      </c>
      <c r="J106" s="34" t="s">
        <v>191</v>
      </c>
    </row>
    <row r="107" spans="2:10" s="17" customFormat="1" ht="25.5" customHeight="1">
      <c r="B107" s="57">
        <v>605</v>
      </c>
      <c r="C107" s="26" t="s">
        <v>176</v>
      </c>
      <c r="D107" s="19">
        <v>537050</v>
      </c>
      <c r="E107" s="21">
        <v>45218</v>
      </c>
      <c r="F107" s="65">
        <v>45218</v>
      </c>
      <c r="G107" s="70">
        <f t="shared" si="1"/>
        <v>0</v>
      </c>
      <c r="H107" s="19"/>
      <c r="I107" s="21">
        <v>-11718</v>
      </c>
      <c r="J107" s="34" t="s">
        <v>191</v>
      </c>
    </row>
    <row r="108" spans="2:10" s="17" customFormat="1" ht="26.25" customHeight="1">
      <c r="B108" s="57">
        <v>605</v>
      </c>
      <c r="C108" s="26" t="s">
        <v>177</v>
      </c>
      <c r="D108" s="19">
        <v>542001</v>
      </c>
      <c r="E108" s="21">
        <v>238060</v>
      </c>
      <c r="F108" s="65">
        <v>317464</v>
      </c>
      <c r="G108" s="70">
        <f t="shared" si="1"/>
        <v>-79404</v>
      </c>
      <c r="H108" s="19"/>
      <c r="I108" s="21">
        <v>61769</v>
      </c>
      <c r="J108" s="34" t="s">
        <v>191</v>
      </c>
    </row>
    <row r="109" spans="2:10" s="17" customFormat="1" ht="26.25" customHeight="1">
      <c r="B109" s="57">
        <v>605</v>
      </c>
      <c r="C109" s="26" t="s">
        <v>178</v>
      </c>
      <c r="D109" s="19">
        <v>553050</v>
      </c>
      <c r="E109" s="21">
        <v>57690</v>
      </c>
      <c r="F109" s="65">
        <v>47497</v>
      </c>
      <c r="G109" s="70">
        <f t="shared" si="1"/>
        <v>10193</v>
      </c>
      <c r="H109" s="19"/>
      <c r="I109" s="21">
        <v>95421</v>
      </c>
      <c r="J109" s="34" t="s">
        <v>191</v>
      </c>
    </row>
    <row r="110" spans="2:10" ht="28.5" customHeight="1">
      <c r="B110" s="37">
        <v>605</v>
      </c>
      <c r="C110" s="26" t="s">
        <v>179</v>
      </c>
      <c r="D110" s="19">
        <v>572001</v>
      </c>
      <c r="E110" s="21">
        <v>4713867</v>
      </c>
      <c r="F110" s="65">
        <v>3159282</v>
      </c>
      <c r="G110" s="71">
        <f t="shared" si="1"/>
        <v>1554585</v>
      </c>
      <c r="H110" s="19"/>
      <c r="I110" s="21">
        <v>-144860</v>
      </c>
      <c r="J110" s="34" t="s">
        <v>191</v>
      </c>
    </row>
    <row r="111" spans="2:10" s="17" customFormat="1" ht="28.5" customHeight="1">
      <c r="B111" s="37">
        <v>605</v>
      </c>
      <c r="C111" s="26" t="s">
        <v>187</v>
      </c>
      <c r="D111" s="19"/>
      <c r="E111" s="21"/>
      <c r="F111" s="65"/>
      <c r="G111" s="71">
        <v>-1081088</v>
      </c>
      <c r="H111" s="19"/>
      <c r="I111" s="21"/>
      <c r="J111" s="34" t="s">
        <v>191</v>
      </c>
    </row>
    <row r="112" spans="2:10" s="17" customFormat="1" ht="28.5" customHeight="1">
      <c r="B112" s="33">
        <v>612</v>
      </c>
      <c r="C112" s="20" t="s">
        <v>54</v>
      </c>
      <c r="D112" s="19">
        <v>308005</v>
      </c>
      <c r="E112" s="21">
        <v>8120687</v>
      </c>
      <c r="F112" s="65">
        <v>6704363</v>
      </c>
      <c r="G112" s="70">
        <f>E112-F112</f>
        <v>1416324</v>
      </c>
      <c r="H112" s="19" t="s">
        <v>197</v>
      </c>
      <c r="I112" s="21">
        <v>415309</v>
      </c>
      <c r="J112" s="34" t="s">
        <v>135</v>
      </c>
    </row>
    <row r="113" spans="2:10" s="17" customFormat="1" ht="28.5" customHeight="1">
      <c r="B113" s="33">
        <v>612</v>
      </c>
      <c r="C113" s="20" t="s">
        <v>55</v>
      </c>
      <c r="D113" s="19">
        <v>523005</v>
      </c>
      <c r="E113" s="21">
        <v>22509957</v>
      </c>
      <c r="F113" s="65">
        <v>21651806</v>
      </c>
      <c r="G113" s="70">
        <f>E113-F113</f>
        <v>858151</v>
      </c>
      <c r="H113" s="19" t="s">
        <v>197</v>
      </c>
      <c r="I113" s="21">
        <v>769720</v>
      </c>
      <c r="J113" s="34" t="s">
        <v>135</v>
      </c>
    </row>
    <row r="114" spans="2:10" s="17" customFormat="1" ht="28.5" customHeight="1">
      <c r="B114" s="33">
        <v>612</v>
      </c>
      <c r="C114" s="25" t="s">
        <v>74</v>
      </c>
      <c r="D114" s="19">
        <v>301061</v>
      </c>
      <c r="E114" s="21">
        <f>2356257+47072</f>
        <v>2403329</v>
      </c>
      <c r="F114" s="65">
        <f>2357564+35502</f>
        <v>2393066</v>
      </c>
      <c r="G114" s="70">
        <f>E114-F114</f>
        <v>10263</v>
      </c>
      <c r="H114" s="19" t="s">
        <v>197</v>
      </c>
      <c r="I114" s="21">
        <v>223803</v>
      </c>
      <c r="J114" s="34" t="s">
        <v>135</v>
      </c>
    </row>
    <row r="115" spans="2:10" s="17" customFormat="1" ht="28.5" customHeight="1">
      <c r="B115" s="33">
        <v>329</v>
      </c>
      <c r="C115" s="25" t="s">
        <v>75</v>
      </c>
      <c r="D115" s="19">
        <v>346005</v>
      </c>
      <c r="E115" s="21">
        <v>7234492</v>
      </c>
      <c r="F115" s="65">
        <v>5981233</v>
      </c>
      <c r="G115" s="70">
        <f>E115-F115</f>
        <v>1253259</v>
      </c>
      <c r="H115" s="19" t="s">
        <v>197</v>
      </c>
      <c r="I115" s="21">
        <v>757443</v>
      </c>
      <c r="J115" s="38" t="s">
        <v>136</v>
      </c>
    </row>
    <row r="116" spans="2:10" s="17" customFormat="1" ht="28.5" customHeight="1">
      <c r="B116" s="33">
        <v>605</v>
      </c>
      <c r="C116" s="26" t="s">
        <v>188</v>
      </c>
      <c r="D116" s="19" t="s">
        <v>189</v>
      </c>
      <c r="E116" s="21">
        <v>-83235</v>
      </c>
      <c r="F116" s="65">
        <v>544349</v>
      </c>
      <c r="G116" s="71">
        <f>E116-F116</f>
        <v>-627584</v>
      </c>
      <c r="H116" s="19"/>
      <c r="I116" s="21">
        <f>-232455+16037-9445</f>
        <v>-225863</v>
      </c>
      <c r="J116" s="38" t="s">
        <v>190</v>
      </c>
    </row>
    <row r="117" spans="2:10" s="17" customFormat="1" ht="22.5" customHeight="1">
      <c r="B117" s="58">
        <v>608</v>
      </c>
      <c r="C117" s="59" t="s">
        <v>180</v>
      </c>
      <c r="D117" s="19"/>
      <c r="E117" s="21"/>
      <c r="F117" s="65"/>
      <c r="G117" s="71"/>
      <c r="H117" s="19"/>
      <c r="I117" s="21"/>
      <c r="J117" s="34"/>
    </row>
    <row r="118" spans="2:10" ht="25.5">
      <c r="B118" s="40">
        <v>608</v>
      </c>
      <c r="C118" s="26" t="s">
        <v>160</v>
      </c>
      <c r="D118" s="56">
        <v>304001</v>
      </c>
      <c r="E118" s="45">
        <v>11555552</v>
      </c>
      <c r="F118" s="67">
        <v>10916639</v>
      </c>
      <c r="G118" s="70">
        <f t="shared" si="1"/>
        <v>638913</v>
      </c>
      <c r="H118" s="19" t="s">
        <v>197</v>
      </c>
      <c r="I118" s="21">
        <v>1440179</v>
      </c>
      <c r="J118" s="86" t="s">
        <v>201</v>
      </c>
    </row>
    <row r="119" spans="2:10" s="17" customFormat="1" ht="25.5">
      <c r="B119" s="40">
        <v>608</v>
      </c>
      <c r="C119" s="26" t="s">
        <v>161</v>
      </c>
      <c r="D119" s="56">
        <v>304005</v>
      </c>
      <c r="E119" s="45">
        <v>807915</v>
      </c>
      <c r="F119" s="67">
        <v>541514</v>
      </c>
      <c r="G119" s="70">
        <f t="shared" si="1"/>
        <v>266401</v>
      </c>
      <c r="H119" s="19" t="s">
        <v>197</v>
      </c>
      <c r="I119" s="21"/>
      <c r="J119" s="86" t="s">
        <v>201</v>
      </c>
    </row>
    <row r="120" spans="2:10" s="17" customFormat="1" ht="25.5">
      <c r="B120" s="40">
        <v>608</v>
      </c>
      <c r="C120" s="26" t="s">
        <v>162</v>
      </c>
      <c r="D120" s="27" t="s">
        <v>60</v>
      </c>
      <c r="E120" s="45">
        <f>17174796+4002193+30000</f>
        <v>21206989</v>
      </c>
      <c r="F120" s="67">
        <f>15997878+4235938+17888</f>
        <v>20251704</v>
      </c>
      <c r="G120" s="70">
        <f t="shared" si="1"/>
        <v>955285</v>
      </c>
      <c r="H120" s="19" t="s">
        <v>197</v>
      </c>
      <c r="I120" s="21">
        <v>1290455</v>
      </c>
      <c r="J120" s="86" t="s">
        <v>201</v>
      </c>
    </row>
    <row r="121" spans="2:10" s="17" customFormat="1" ht="25.5">
      <c r="B121" s="40">
        <v>608</v>
      </c>
      <c r="C121" s="26" t="s">
        <v>194</v>
      </c>
      <c r="D121" s="27" t="s">
        <v>193</v>
      </c>
      <c r="E121" s="45">
        <v>88705</v>
      </c>
      <c r="F121" s="67">
        <v>0</v>
      </c>
      <c r="G121" s="70">
        <f t="shared" si="1"/>
        <v>88705</v>
      </c>
      <c r="H121" s="19" t="s">
        <v>197</v>
      </c>
      <c r="I121" s="21"/>
      <c r="J121" s="86" t="s">
        <v>201</v>
      </c>
    </row>
    <row r="122" spans="2:10" s="17" customFormat="1" ht="25.5">
      <c r="B122" s="40">
        <v>608</v>
      </c>
      <c r="C122" s="26" t="s">
        <v>163</v>
      </c>
      <c r="D122" s="56">
        <v>489001</v>
      </c>
      <c r="E122" s="45">
        <v>7123177</v>
      </c>
      <c r="F122" s="67">
        <v>6733648</v>
      </c>
      <c r="G122" s="70">
        <f t="shared" si="1"/>
        <v>389529</v>
      </c>
      <c r="H122" s="19" t="s">
        <v>197</v>
      </c>
      <c r="I122" s="21">
        <v>424690</v>
      </c>
      <c r="J122" s="86" t="s">
        <v>201</v>
      </c>
    </row>
    <row r="123" spans="2:10" s="17" customFormat="1" ht="25.5">
      <c r="B123" s="40">
        <v>608</v>
      </c>
      <c r="C123" s="26" t="s">
        <v>164</v>
      </c>
      <c r="D123" s="56">
        <v>521022</v>
      </c>
      <c r="E123" s="45">
        <v>481163</v>
      </c>
      <c r="F123" s="67">
        <v>-231860</v>
      </c>
      <c r="G123" s="70">
        <f t="shared" si="1"/>
        <v>713023</v>
      </c>
      <c r="H123" s="19" t="s">
        <v>197</v>
      </c>
      <c r="I123" s="21">
        <v>-1010049</v>
      </c>
      <c r="J123" s="86" t="s">
        <v>201</v>
      </c>
    </row>
    <row r="124" spans="2:10" s="17" customFormat="1" ht="25.5">
      <c r="B124" s="40">
        <v>608</v>
      </c>
      <c r="C124" s="26" t="s">
        <v>165</v>
      </c>
      <c r="D124" s="56">
        <v>521023</v>
      </c>
      <c r="E124" s="45">
        <v>720342</v>
      </c>
      <c r="F124" s="67">
        <v>364737</v>
      </c>
      <c r="G124" s="70">
        <f t="shared" si="1"/>
        <v>355605</v>
      </c>
      <c r="H124" s="19" t="s">
        <v>197</v>
      </c>
      <c r="I124" s="21">
        <v>245959</v>
      </c>
      <c r="J124" s="86" t="s">
        <v>201</v>
      </c>
    </row>
    <row r="125" spans="2:10" s="17" customFormat="1" ht="25.5">
      <c r="B125" s="40">
        <v>608</v>
      </c>
      <c r="C125" s="26" t="s">
        <v>166</v>
      </c>
      <c r="D125" s="56">
        <v>521027</v>
      </c>
      <c r="E125" s="45">
        <v>160809</v>
      </c>
      <c r="F125" s="67">
        <v>-454122</v>
      </c>
      <c r="G125" s="70">
        <f t="shared" si="1"/>
        <v>614931</v>
      </c>
      <c r="H125" s="19" t="s">
        <v>197</v>
      </c>
      <c r="I125" s="21">
        <v>248635</v>
      </c>
      <c r="J125" s="86" t="s">
        <v>201</v>
      </c>
    </row>
    <row r="126" spans="2:10" s="17" customFormat="1" ht="25.5">
      <c r="B126" s="40">
        <v>608</v>
      </c>
      <c r="C126" s="26" t="s">
        <v>167</v>
      </c>
      <c r="D126" s="56">
        <v>521036</v>
      </c>
      <c r="E126" s="45">
        <v>62500</v>
      </c>
      <c r="F126" s="67">
        <v>3728</v>
      </c>
      <c r="G126" s="70">
        <f t="shared" si="1"/>
        <v>58772</v>
      </c>
      <c r="H126" s="19" t="s">
        <v>197</v>
      </c>
      <c r="I126" s="21"/>
      <c r="J126" s="86" t="s">
        <v>201</v>
      </c>
    </row>
    <row r="127" spans="2:10" s="17" customFormat="1" ht="25.5">
      <c r="B127" s="40">
        <v>608</v>
      </c>
      <c r="C127" s="26" t="s">
        <v>168</v>
      </c>
      <c r="D127" s="56">
        <v>521061</v>
      </c>
      <c r="E127" s="45">
        <v>628469</v>
      </c>
      <c r="F127" s="67">
        <v>498201</v>
      </c>
      <c r="G127" s="70">
        <f t="shared" si="1"/>
        <v>130268</v>
      </c>
      <c r="H127" s="19" t="s">
        <v>197</v>
      </c>
      <c r="I127" s="21">
        <v>104440</v>
      </c>
      <c r="J127" s="86" t="s">
        <v>201</v>
      </c>
    </row>
    <row r="128" spans="2:10" s="17" customFormat="1" ht="25.5">
      <c r="B128" s="40">
        <v>608</v>
      </c>
      <c r="C128" s="26" t="s">
        <v>169</v>
      </c>
      <c r="D128" s="56">
        <v>521065</v>
      </c>
      <c r="E128" s="45">
        <v>98430</v>
      </c>
      <c r="F128" s="67">
        <v>100809</v>
      </c>
      <c r="G128" s="70">
        <f t="shared" si="1"/>
        <v>-2379</v>
      </c>
      <c r="H128" s="19" t="s">
        <v>197</v>
      </c>
      <c r="I128" s="21">
        <v>4061</v>
      </c>
      <c r="J128" s="86" t="s">
        <v>201</v>
      </c>
    </row>
    <row r="129" spans="2:10" ht="12.75">
      <c r="B129" s="33"/>
      <c r="C129" s="20"/>
      <c r="D129" s="19"/>
      <c r="E129" s="21"/>
      <c r="F129" s="65"/>
      <c r="G129" s="70"/>
      <c r="H129" s="19"/>
      <c r="I129" s="21"/>
      <c r="J129" s="38"/>
    </row>
    <row r="130" spans="2:10" ht="13.5" thickBot="1">
      <c r="B130" s="41" t="s">
        <v>82</v>
      </c>
      <c r="C130" s="42"/>
      <c r="D130" s="43"/>
      <c r="E130" s="44">
        <f>SUM(E9:E129)</f>
        <v>895527059</v>
      </c>
      <c r="F130" s="68">
        <f>SUM(F9:F129)</f>
        <v>849953989</v>
      </c>
      <c r="G130" s="72">
        <f>SUM(G9:G129)</f>
        <v>43516697</v>
      </c>
      <c r="H130" s="74"/>
      <c r="I130" s="73">
        <f aca="true" t="shared" si="2" ref="I130">SUM(I9:I129)</f>
        <v>46081409</v>
      </c>
      <c r="J130" s="76"/>
    </row>
    <row r="131" spans="2:10" s="17" customFormat="1" ht="12.75">
      <c r="B131" s="88"/>
      <c r="C131" s="89"/>
      <c r="D131" s="90"/>
      <c r="E131" s="91"/>
      <c r="F131" s="69"/>
      <c r="G131" s="30"/>
      <c r="H131" s="31"/>
      <c r="I131" s="92"/>
      <c r="J131" s="93"/>
    </row>
    <row r="132" spans="2:10" ht="26.25" customHeight="1">
      <c r="B132" s="115" t="s">
        <v>205</v>
      </c>
      <c r="C132" s="116"/>
      <c r="D132" s="116"/>
      <c r="E132" s="117"/>
      <c r="F132" s="70"/>
      <c r="G132" s="104">
        <f>'Børn og Undervisning-anlæg'!F16</f>
        <v>817496</v>
      </c>
      <c r="H132" s="21"/>
      <c r="I132" s="86"/>
      <c r="J132" s="94"/>
    </row>
    <row r="133" spans="2:10" ht="12.75" customHeight="1">
      <c r="B133" s="115" t="s">
        <v>206</v>
      </c>
      <c r="C133" s="116"/>
      <c r="D133" s="116"/>
      <c r="E133" s="117"/>
      <c r="F133" s="70"/>
      <c r="G133" s="19"/>
      <c r="H133" s="21"/>
      <c r="I133" s="86"/>
      <c r="J133" s="94"/>
    </row>
    <row r="134" spans="2:10" ht="12.75">
      <c r="B134" s="95"/>
      <c r="C134" s="56"/>
      <c r="D134" s="45"/>
      <c r="E134" s="67"/>
      <c r="F134" s="70"/>
      <c r="G134" s="19"/>
      <c r="H134" s="21"/>
      <c r="I134" s="86"/>
      <c r="J134" s="94"/>
    </row>
    <row r="135" spans="2:10" ht="27" customHeight="1" thickBot="1">
      <c r="B135" s="105" t="s">
        <v>82</v>
      </c>
      <c r="C135" s="106"/>
      <c r="D135" s="107"/>
      <c r="E135" s="96"/>
      <c r="F135" s="97"/>
      <c r="G135" s="101">
        <f>SUM(G130:G132)</f>
        <v>44334193</v>
      </c>
      <c r="H135" s="98"/>
      <c r="I135" s="99"/>
      <c r="J135" s="100"/>
    </row>
  </sheetData>
  <mergeCells count="6">
    <mergeCell ref="B135:D135"/>
    <mergeCell ref="G7:J7"/>
    <mergeCell ref="J87:J89"/>
    <mergeCell ref="J70:J73"/>
    <mergeCell ref="B132:E132"/>
    <mergeCell ref="B133:E133"/>
  </mergeCells>
  <printOptions/>
  <pageMargins left="0" right="0" top="0.7480314960629921" bottom="0.3937007874015748" header="0" footer="0"/>
  <pageSetup horizontalDpi="600" verticalDpi="600" orientation="portrait" paperSize="9" r:id="rId1"/>
  <headerFooter alignWithMargins="0">
    <oddFooter>&amp;L&amp;8&amp;F&amp;R&amp;De]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 topLeftCell="A1">
      <selection activeCell="A10" sqref="A10:XFD10"/>
    </sheetView>
  </sheetViews>
  <sheetFormatPr defaultColWidth="9.140625" defaultRowHeight="12.75"/>
  <cols>
    <col min="1" max="1" width="2.00390625" style="0" customWidth="1"/>
    <col min="2" max="2" width="10.421875" style="0" customWidth="1"/>
    <col min="3" max="3" width="46.00390625" style="0" customWidth="1"/>
    <col min="4" max="4" width="11.421875" style="0" customWidth="1"/>
    <col min="5" max="5" width="10.421875" style="0" customWidth="1"/>
    <col min="6" max="6" width="12.421875" style="0" customWidth="1"/>
  </cols>
  <sheetData>
    <row r="1" ht="13.5" thickBot="1"/>
    <row r="2" spans="2:6" ht="26.25" thickBot="1">
      <c r="B2" s="118" t="s">
        <v>97</v>
      </c>
      <c r="C2" s="119"/>
      <c r="D2" s="119"/>
      <c r="E2" s="119"/>
      <c r="F2" s="120"/>
    </row>
    <row r="4" spans="2:3" ht="18">
      <c r="B4" s="4" t="s">
        <v>0</v>
      </c>
      <c r="C4" s="2"/>
    </row>
    <row r="5" ht="18">
      <c r="B5" s="4" t="s">
        <v>2</v>
      </c>
    </row>
    <row r="6" spans="2:6" ht="51">
      <c r="B6" s="9" t="s">
        <v>81</v>
      </c>
      <c r="C6" s="9" t="s">
        <v>5</v>
      </c>
      <c r="D6" s="10" t="s">
        <v>95</v>
      </c>
      <c r="E6" s="10" t="s">
        <v>96</v>
      </c>
      <c r="F6" s="8" t="s">
        <v>94</v>
      </c>
    </row>
    <row r="7" ht="51">
      <c r="F7" s="12" t="s">
        <v>3</v>
      </c>
    </row>
    <row r="8" spans="2:6" ht="13.7" customHeight="1">
      <c r="B8" s="15"/>
      <c r="C8" s="14"/>
      <c r="D8" s="16"/>
      <c r="E8" s="16"/>
      <c r="F8" s="16"/>
    </row>
    <row r="9" spans="2:6" ht="13.7" customHeight="1">
      <c r="B9" s="47" t="s">
        <v>85</v>
      </c>
      <c r="C9" s="48" t="s">
        <v>86</v>
      </c>
      <c r="D9" s="16">
        <v>59636688</v>
      </c>
      <c r="E9" s="16">
        <v>56718712</v>
      </c>
      <c r="F9" s="16">
        <f aca="true" t="shared" si="0" ref="F9:F14">D9-E9</f>
        <v>2917976</v>
      </c>
    </row>
    <row r="10" spans="2:6" ht="13.7" customHeight="1">
      <c r="B10" s="49" t="s">
        <v>87</v>
      </c>
      <c r="C10" s="55" t="s">
        <v>200</v>
      </c>
      <c r="D10" s="16">
        <v>1061100</v>
      </c>
      <c r="E10" s="16">
        <v>405197</v>
      </c>
      <c r="F10" s="16">
        <f t="shared" si="0"/>
        <v>655903</v>
      </c>
    </row>
    <row r="11" spans="2:6" ht="13.7" customHeight="1">
      <c r="B11" s="50" t="s">
        <v>88</v>
      </c>
      <c r="C11" s="55" t="s">
        <v>199</v>
      </c>
      <c r="D11" s="16">
        <v>659511</v>
      </c>
      <c r="E11" s="16">
        <v>90784</v>
      </c>
      <c r="F11" s="16">
        <f t="shared" si="0"/>
        <v>568727</v>
      </c>
    </row>
    <row r="12" spans="2:6" ht="13.7" customHeight="1">
      <c r="B12" s="52" t="s">
        <v>89</v>
      </c>
      <c r="C12" s="51" t="s">
        <v>90</v>
      </c>
      <c r="D12" s="16">
        <v>14786480</v>
      </c>
      <c r="E12" s="16">
        <v>8870310</v>
      </c>
      <c r="F12" s="16">
        <f t="shared" si="0"/>
        <v>5916170</v>
      </c>
    </row>
    <row r="13" spans="2:6" ht="14.1" customHeight="1">
      <c r="B13" s="54" t="s">
        <v>91</v>
      </c>
      <c r="C13" s="53" t="s">
        <v>92</v>
      </c>
      <c r="D13" s="16">
        <v>441850</v>
      </c>
      <c r="E13" s="16">
        <v>378879</v>
      </c>
      <c r="F13" s="16">
        <f t="shared" si="0"/>
        <v>62971</v>
      </c>
    </row>
    <row r="14" spans="2:6" s="17" customFormat="1" ht="13.7" customHeight="1">
      <c r="B14" s="60" t="s">
        <v>185</v>
      </c>
      <c r="C14" s="55" t="s">
        <v>195</v>
      </c>
      <c r="D14" s="16">
        <v>1013000</v>
      </c>
      <c r="E14" s="16">
        <v>226487</v>
      </c>
      <c r="F14" s="16">
        <f t="shared" si="0"/>
        <v>786513</v>
      </c>
    </row>
    <row r="15" spans="2:6" ht="23.25" customHeight="1">
      <c r="B15" s="121" t="s">
        <v>207</v>
      </c>
      <c r="C15" s="107"/>
      <c r="D15" s="13">
        <f>SUM(D9:D14)</f>
        <v>77598629</v>
      </c>
      <c r="E15" s="13">
        <f>SUM(E9:E14)</f>
        <v>66690369</v>
      </c>
      <c r="F15" s="13">
        <f>SUM(F9:F14)</f>
        <v>10908260</v>
      </c>
    </row>
    <row r="16" spans="2:6" ht="18.75" customHeight="1">
      <c r="B16" s="60" t="s">
        <v>186</v>
      </c>
      <c r="C16" s="60" t="s">
        <v>208</v>
      </c>
      <c r="D16" s="16">
        <v>2189000</v>
      </c>
      <c r="E16" s="16">
        <v>1371504</v>
      </c>
      <c r="F16" s="16">
        <f aca="true" t="shared" si="1" ref="F16">D16-E16</f>
        <v>817496</v>
      </c>
    </row>
    <row r="17" spans="2:6" ht="12.75">
      <c r="B17" s="122"/>
      <c r="C17" s="123"/>
      <c r="D17" s="102"/>
      <c r="E17" s="102"/>
      <c r="F17" s="102"/>
    </row>
    <row r="18" spans="2:6" ht="12.75">
      <c r="B18" s="124" t="s">
        <v>207</v>
      </c>
      <c r="C18" s="125"/>
      <c r="D18" s="103">
        <f>SUM(D15:D16)</f>
        <v>79787629</v>
      </c>
      <c r="E18" s="103">
        <f aca="true" t="shared" si="2" ref="E18:F18">SUM(E15:E16)</f>
        <v>68061873</v>
      </c>
      <c r="F18" s="103">
        <f t="shared" si="2"/>
        <v>11725756</v>
      </c>
    </row>
  </sheetData>
  <mergeCells count="4">
    <mergeCell ref="B2:F2"/>
    <mergeCell ref="B15:C15"/>
    <mergeCell ref="B17:C17"/>
    <mergeCell ref="B18:C18"/>
  </mergeCells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&amp;L&amp;8&amp;F&amp;R&amp;P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J28" sqref="J28"/>
    </sheetView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Jannick Kevin Jørgensen</cp:lastModifiedBy>
  <cp:lastPrinted>2016-03-03T15:24:15Z</cp:lastPrinted>
  <dcterms:created xsi:type="dcterms:W3CDTF">2008-01-30T07:27:00Z</dcterms:created>
  <dcterms:modified xsi:type="dcterms:W3CDTF">2016-03-07T12:31:41Z</dcterms:modified>
  <cp:category/>
  <cp:version/>
  <cp:contentType/>
  <cp:contentStatus/>
</cp:coreProperties>
</file>